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Lý Minh Châu, Toán
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<sst xmlns="http://schemas.openxmlformats.org/spreadsheetml/2006/main" count="174" uniqueCount="112">
  <si>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</si>
  <si>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TOÁN
GVBM: LÝ MINH CHÂU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</si>
  <si>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</si>
  <si>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</si>
  <si>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</si>
  <si>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</si>
  <si>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</si>
  <si>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</si>
  <si>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Khả năng tiếp thu tương đối khá nhưng chưa chăm.</t>
  </si>
  <si>
    <t>Nhanh hiểu, nhanh quên.</t>
  </si>
  <si>
    <t>Chưa định vị đúng bản thân, không cẩn thận trong tính toán.</t>
  </si>
  <si>
    <t>Thờ ơ với việc học.</t>
  </si>
  <si>
    <t>Khả năng ghi nhớ chưa tốt.</t>
  </si>
  <si>
    <t>Chưa cố gắng.</t>
  </si>
  <si>
    <t>Có cố gắng song chưa đều.</t>
  </si>
  <si>
    <t>Chưa chăm.</t>
  </si>
  <si>
    <t>Thụ động, tính toán chưa nhanh.</t>
  </si>
  <si>
    <t>Thiếu tập trung.</t>
  </si>
  <si>
    <t>Tính toán chậm, chủ quan.</t>
  </si>
  <si>
    <t>Tính toán chậm, thiếu tự tin.</t>
  </si>
  <si>
    <t>Học khá, có cố gắng.</t>
  </si>
  <si>
    <t>Chăm, tính toán chưa nhanh.</t>
  </si>
  <si>
    <t>Chăm, có cố gắng.</t>
  </si>
  <si>
    <t>Thiếu tự tin, tính toán chưa cẩn thận.</t>
  </si>
  <si>
    <t>Chủ quan, thiếu cẩn thận.</t>
  </si>
  <si>
    <t>Chưa cẩn thận trong việc làm bài.</t>
  </si>
  <si>
    <t>Chưa tập trung vào học tập.</t>
  </si>
  <si>
    <t>Có cố gắng.</t>
  </si>
  <si>
    <t>Học chưa đúng phương pháp.</t>
  </si>
  <si>
    <t>Học khá, tích cực.</t>
  </si>
  <si>
    <t>Tích cực xong thiếu cẩn thận.</t>
  </si>
  <si>
    <t>Tiếp thu tương đối nhưng vận dung chưa tốt.</t>
  </si>
  <si>
    <t>Tiếp thu tương đối nhưng chưa chăm.</t>
  </si>
  <si>
    <t>Hấp tấp, không cẩn thận.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</si>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</sst>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4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3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shrinkToFit="0" wrapText="0"/>
    </xf>
    <xf borderId="5" fillId="0" fontId="5" numFmtId="164" xfId="0" applyAlignment="1" applyBorder="1" applyFont="1" applyNumberFormat="1">
      <alignment horizontal="center" readingOrder="0" shrinkToFit="0" wrapText="0"/>
    </xf>
    <xf borderId="6" fillId="2" fontId="6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shrinkToFit="0" wrapText="0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5" numFmtId="164" xfId="0" applyAlignment="1" applyBorder="1" applyFont="1" applyNumberFormat="1">
      <alignment horizontal="center" readingOrder="0" shrinkToFit="0" wrapText="0"/>
    </xf>
    <xf borderId="6" fillId="4" fontId="5" numFmtId="0" xfId="0" applyAlignment="1" applyBorder="1" applyFont="1">
      <alignment horizontal="left" readingOrder="0" shrinkToFit="0" wrapText="0"/>
    </xf>
    <xf borderId="6" fillId="4" fontId="4" numFmtId="0" xfId="0" applyAlignment="1" applyBorder="1" applyFont="1">
      <alignment horizontal="right"/>
    </xf>
    <xf borderId="7" fillId="0" fontId="5" numFmtId="164" xfId="0" applyAlignment="1" applyBorder="1" applyFont="1" applyNumberFormat="1">
      <alignment horizontal="center" readingOrder="0" shrinkToFit="0" wrapText="0"/>
    </xf>
    <xf borderId="8" fillId="0" fontId="5" numFmtId="164" xfId="0" applyAlignment="1" applyBorder="1" applyFont="1" applyNumberFormat="1">
      <alignment horizontal="center" readingOrder="0" shrinkToFit="0" wrapText="0"/>
    </xf>
    <xf borderId="7" fillId="0" fontId="5" numFmtId="0" xfId="0" applyAlignment="1" applyBorder="1" applyFont="1">
      <alignment horizontal="left" readingOrder="0" shrinkToFit="0" wrapText="0"/>
    </xf>
    <xf borderId="3" fillId="0" fontId="7" numFmtId="0" xfId="0" applyBorder="1" applyFont="1"/>
    <xf borderId="5" fillId="0" fontId="7" numFmtId="0" xfId="0" applyBorder="1" applyFont="1"/>
    <xf borderId="6" fillId="4" fontId="8" numFmtId="0" xfId="0" applyBorder="1" applyFont="1"/>
    <xf borderId="3" fillId="4" fontId="8" numFmtId="0" xfId="0" applyBorder="1" applyFont="1"/>
    <xf borderId="5" fillId="4" fontId="8" numFmtId="0" xfId="0" applyBorder="1" applyFont="1"/>
    <xf borderId="6" fillId="0" fontId="8" numFmtId="0" xfId="0" applyBorder="1" applyFont="1"/>
    <xf borderId="3" fillId="0" fontId="8" numFmtId="0" xfId="0" applyBorder="1" applyFont="1"/>
    <xf borderId="5" fillId="0" fontId="8" numFmtId="0" xfId="0" applyBorder="1" applyFont="1"/>
    <xf borderId="3" fillId="4" fontId="9" numFmtId="0" xfId="0" applyBorder="1" applyFont="1"/>
    <xf borderId="5" fillId="4" fontId="9" numFmtId="0" xfId="0" applyBorder="1" applyFont="1"/>
    <xf borderId="6" fillId="0" fontId="6" numFmtId="164" xfId="0" applyAlignment="1" applyBorder="1" applyFont="1" applyNumberFormat="1">
      <alignment horizontal="center" readingOrder="0" vertical="center"/>
    </xf>
    <xf borderId="6" fillId="2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left" readingOrder="0" vertical="center"/>
    </xf>
    <xf borderId="3" fillId="0" fontId="9" numFmtId="0" xfId="0" applyBorder="1" applyFont="1"/>
    <xf borderId="5" fillId="0" fontId="9" numFmtId="0" xfId="0" applyBorder="1" applyFont="1"/>
    <xf borderId="6" fillId="0" fontId="8" numFmtId="0" xfId="0" applyAlignment="1" applyBorder="1" applyFont="1">
      <alignment readingOrder="0" vertical="center"/>
    </xf>
    <xf borderId="3" fillId="0" fontId="8" numFmtId="0" xfId="0" applyAlignment="1" applyBorder="1" applyFont="1">
      <alignment readingOrder="0" shrinkToFit="0" vertical="center" wrapText="1"/>
    </xf>
    <xf borderId="5" fillId="0" fontId="8" numFmtId="0" xfId="0" applyAlignment="1" applyBorder="1" applyFont="1">
      <alignment readingOrder="0" shrinkToFit="0" vertical="center" wrapText="1"/>
    </xf>
    <xf borderId="0" fillId="2" fontId="10" numFmtId="0" xfId="0" applyAlignment="1" applyFont="1">
      <alignment horizontal="left" vertical="bottom"/>
    </xf>
    <xf borderId="0" fillId="2" fontId="10" numFmtId="0" xfId="0" applyAlignment="1" applyFont="1">
      <alignment horizontal="left" shrinkToFit="0" vertical="bottom" wrapText="1"/>
    </xf>
    <xf borderId="0" fillId="2" fontId="10" numFmtId="0" xfId="0" applyAlignment="1" applyFont="1">
      <alignment horizontal="center" vertical="bottom"/>
    </xf>
    <xf borderId="0" fillId="2" fontId="10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1" numFmtId="164" xfId="0" applyAlignment="1" applyBorder="1" applyFont="1" applyNumberFormat="1">
      <alignment horizontal="center" readingOrder="0" vertical="center"/>
    </xf>
    <xf borderId="0" fillId="3" fontId="6" numFmtId="0" xfId="0" applyAlignment="1" applyFont="1">
      <alignment horizontal="center" readingOrder="0" vertical="center"/>
    </xf>
    <xf borderId="0" fillId="3" fontId="12" numFmtId="0" xfId="0" applyAlignment="1" applyFont="1">
      <alignment horizontal="center" readingOrder="0" vertical="center"/>
    </xf>
    <xf borderId="6" fillId="3" fontId="12" numFmtId="0" xfId="0" applyAlignment="1" applyBorder="1" applyFont="1">
      <alignment horizontal="center" readingOrder="0" vertical="center"/>
    </xf>
    <xf borderId="3" fillId="3" fontId="12" numFmtId="0" xfId="0" applyAlignment="1" applyBorder="1" applyFont="1">
      <alignment horizontal="center" readingOrder="0" vertical="center"/>
    </xf>
    <xf borderId="9" fillId="3" fontId="12" numFmtId="0" xfId="0" applyAlignment="1" applyBorder="1" applyFont="1">
      <alignment horizontal="center" readingOrder="0" vertical="center"/>
    </xf>
    <xf borderId="10" fillId="0" fontId="2" numFmtId="0" xfId="0" applyBorder="1" applyFont="1"/>
    <xf borderId="4" fillId="3" fontId="12" numFmtId="0" xfId="0" applyAlignment="1" applyBorder="1" applyFont="1">
      <alignment horizontal="center" readingOrder="0" vertical="center"/>
    </xf>
    <xf borderId="6" fillId="3" fontId="6" numFmtId="0" xfId="0" applyAlignment="1" applyBorder="1" applyFont="1">
      <alignment horizontal="center" readingOrder="0" vertical="center"/>
    </xf>
    <xf borderId="3" fillId="3" fontId="6" numFmtId="9" xfId="0" applyAlignment="1" applyBorder="1" applyFont="1" applyNumberFormat="1">
      <alignment horizontal="center" readingOrder="0" vertical="center"/>
    </xf>
    <xf borderId="11" fillId="3" fontId="6" numFmtId="0" xfId="0" applyAlignment="1" applyBorder="1" applyFont="1">
      <alignment horizontal="center" readingOrder="0" vertical="center"/>
    </xf>
    <xf borderId="12" fillId="3" fontId="6" numFmtId="9" xfId="0" applyAlignment="1" applyBorder="1" applyFont="1" applyNumberFormat="1">
      <alignment horizontal="center" readingOrder="0" vertical="center"/>
    </xf>
    <xf borderId="5" fillId="3" fontId="6" numFmtId="0" xfId="0" applyAlignment="1" applyBorder="1" applyFont="1">
      <alignment horizontal="center" readingOrder="0" vertical="center"/>
    </xf>
    <xf borderId="6" fillId="3" fontId="6" numFmtId="9" xfId="0" applyAlignment="1" applyBorder="1" applyFont="1" applyNumberFormat="1">
      <alignment horizontal="center" readingOrder="0" vertical="center"/>
    </xf>
    <xf borderId="6" fillId="2" fontId="13" numFmtId="0" xfId="0" applyAlignment="1" applyBorder="1" applyFont="1">
      <alignment horizontal="center" readingOrder="0" vertical="center"/>
    </xf>
    <xf borderId="3" fillId="2" fontId="13" numFmtId="9" xfId="0" applyAlignment="1" applyBorder="1" applyFont="1" applyNumberFormat="1">
      <alignment horizontal="center" readingOrder="0" vertical="center"/>
    </xf>
    <xf borderId="11" fillId="2" fontId="13" numFmtId="0" xfId="0" applyAlignment="1" applyBorder="1" applyFont="1">
      <alignment horizontal="center" readingOrder="0" vertical="center"/>
    </xf>
    <xf borderId="12" fillId="2" fontId="13" numFmtId="9" xfId="0" applyAlignment="1" applyBorder="1" applyFont="1" applyNumberFormat="1">
      <alignment horizontal="center" readingOrder="0" vertical="center"/>
    </xf>
    <xf borderId="5" fillId="2" fontId="13" numFmtId="0" xfId="0" applyAlignment="1" applyBorder="1" applyFont="1">
      <alignment horizontal="center" readingOrder="0" vertical="center"/>
    </xf>
    <xf borderId="6" fillId="2" fontId="13" numFmtId="9" xfId="0" applyAlignment="1" applyBorder="1" applyFont="1" applyNumberFormat="1">
      <alignment horizontal="center" readingOrder="0" vertical="center"/>
    </xf>
    <xf borderId="0" fillId="3" fontId="6" numFmtId="9" xfId="0" applyAlignment="1" applyFont="1" applyNumberFormat="1">
      <alignment horizontal="center" readingOrder="0" vertical="center"/>
    </xf>
    <xf borderId="12" fillId="2" fontId="6" numFmtId="9" xfId="0" applyAlignment="1" applyBorder="1" applyFont="1" applyNumberForma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3" numFmtId="9" xfId="0" applyAlignment="1" applyFont="1" applyNumberFormat="1">
      <alignment horizontal="center" readingOrder="0" vertical="center"/>
    </xf>
    <xf borderId="0" fillId="3" fontId="10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8.0</v>
      </c>
      <c r="E3" s="16">
        <v>5.7</v>
      </c>
      <c r="F3" s="16">
        <v>6.8</v>
      </c>
      <c r="G3" s="16">
        <v>7.3</v>
      </c>
      <c r="H3" s="16">
        <v>6.8</v>
      </c>
      <c r="I3" s="16">
        <v>6.4</v>
      </c>
      <c r="J3" s="17">
        <f t="shared" ref="J3:J37" si="1">if(counta(D3:I3)=0,"",round(average(D3:I3,H3:I3,I3),1))</f>
        <v>6.7</v>
      </c>
      <c r="K3" s="18" t="s">
        <v>8</v>
      </c>
    </row>
    <row r="4">
      <c r="A4" s="19">
        <f>IFERROR(__xludf.DUMMYFUNCTION("""COMPUTED_VALUE"""),2.0)</f>
        <v>2</v>
      </c>
      <c r="B4" s="20" t="str">
        <f>IFERROR(__xludf.DUMMYFUNCTION("""COMPUTED_VALUE"""),"Nguyễn Trịnh Hoàng")</f>
        <v>Nguyễn Trịnh Hoàng</v>
      </c>
      <c r="C4" s="21" t="str">
        <f>IFERROR(__xludf.DUMMYFUNCTION("""COMPUTED_VALUE"""),"Anh")</f>
        <v>Anh</v>
      </c>
      <c r="D4" s="22">
        <v>8.0</v>
      </c>
      <c r="E4" s="22">
        <v>5.9</v>
      </c>
      <c r="F4" s="22">
        <v>5.0</v>
      </c>
      <c r="G4" s="22">
        <v>7.0</v>
      </c>
      <c r="H4" s="22">
        <v>6.9</v>
      </c>
      <c r="I4" s="22">
        <v>3.8</v>
      </c>
      <c r="J4" s="17">
        <f t="shared" si="1"/>
        <v>5.7</v>
      </c>
      <c r="K4" s="23" t="s">
        <v>9</v>
      </c>
    </row>
    <row r="5">
      <c r="A5" s="24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25">
        <v>6.0</v>
      </c>
      <c r="E5" s="26">
        <v>6.0</v>
      </c>
      <c r="F5" s="26">
        <v>7.0</v>
      </c>
      <c r="G5" s="26">
        <v>8.0</v>
      </c>
      <c r="H5" s="26">
        <v>6.0</v>
      </c>
      <c r="I5" s="26">
        <v>3.8</v>
      </c>
      <c r="J5" s="17">
        <f t="shared" si="1"/>
        <v>5.6</v>
      </c>
      <c r="K5" s="27" t="s">
        <v>10</v>
      </c>
    </row>
    <row r="6">
      <c r="A6" s="19">
        <f>IFERROR(__xludf.DUMMYFUNCTION("""COMPUTED_VALUE"""),4.0)</f>
        <v>4</v>
      </c>
      <c r="B6" s="20" t="str">
        <f>IFERROR(__xludf.DUMMYFUNCTION("""COMPUTED_VALUE"""),"Nguyễn Tuấn")</f>
        <v>Nguyễn Tuấn</v>
      </c>
      <c r="C6" s="21" t="str">
        <f>IFERROR(__xludf.DUMMYFUNCTION("""COMPUTED_VALUE"""),"Bảo")</f>
        <v>Bảo</v>
      </c>
      <c r="D6" s="22">
        <v>7.0</v>
      </c>
      <c r="E6" s="22">
        <v>5.2</v>
      </c>
      <c r="F6" s="22">
        <v>7.0</v>
      </c>
      <c r="G6" s="22">
        <v>4.4</v>
      </c>
      <c r="H6" s="22">
        <v>5.2</v>
      </c>
      <c r="I6" s="22">
        <v>3.0</v>
      </c>
      <c r="J6" s="17">
        <f t="shared" si="1"/>
        <v>4.8</v>
      </c>
      <c r="K6" s="23" t="s">
        <v>11</v>
      </c>
    </row>
    <row r="7">
      <c r="A7" s="24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25">
        <v>7.0</v>
      </c>
      <c r="E7" s="26">
        <v>6.5</v>
      </c>
      <c r="F7" s="26">
        <v>6.8</v>
      </c>
      <c r="G7" s="26">
        <v>3.8</v>
      </c>
      <c r="H7" s="26">
        <v>5.2</v>
      </c>
      <c r="I7" s="26">
        <v>3.6</v>
      </c>
      <c r="J7" s="17">
        <f t="shared" si="1"/>
        <v>5</v>
      </c>
      <c r="K7" s="27" t="s">
        <v>12</v>
      </c>
    </row>
    <row r="8">
      <c r="A8" s="19">
        <f>IFERROR(__xludf.DUMMYFUNCTION("""COMPUTED_VALUE"""),6.0)</f>
        <v>6</v>
      </c>
      <c r="B8" s="20" t="str">
        <f>IFERROR(__xludf.DUMMYFUNCTION("""COMPUTED_VALUE"""),"Lê Nguyễn Mạnh")</f>
        <v>Lê Nguyễn Mạnh</v>
      </c>
      <c r="C8" s="21" t="str">
        <f>IFERROR(__xludf.DUMMYFUNCTION("""COMPUTED_VALUE"""),"Dũng")</f>
        <v>Dũng</v>
      </c>
      <c r="D8" s="22">
        <v>6.0</v>
      </c>
      <c r="E8" s="22">
        <v>7.0</v>
      </c>
      <c r="F8" s="22">
        <v>5.9</v>
      </c>
      <c r="G8" s="22">
        <v>5.3</v>
      </c>
      <c r="H8" s="22">
        <v>5.2</v>
      </c>
      <c r="I8" s="22">
        <v>3.8</v>
      </c>
      <c r="J8" s="17">
        <f t="shared" si="1"/>
        <v>5.1</v>
      </c>
      <c r="K8" s="23" t="s">
        <v>13</v>
      </c>
    </row>
    <row r="9">
      <c r="A9" s="24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25">
        <v>8.0</v>
      </c>
      <c r="E9" s="26">
        <v>6.9</v>
      </c>
      <c r="F9" s="26">
        <v>7.9</v>
      </c>
      <c r="G9" s="26">
        <v>7.2</v>
      </c>
      <c r="H9" s="26">
        <v>8.0</v>
      </c>
      <c r="I9" s="26">
        <v>4.8</v>
      </c>
      <c r="J9" s="17">
        <f t="shared" si="1"/>
        <v>6.7</v>
      </c>
      <c r="K9" s="27" t="s">
        <v>14</v>
      </c>
    </row>
    <row r="10">
      <c r="A10" s="19">
        <f>IFERROR(__xludf.DUMMYFUNCTION("""COMPUTED_VALUE"""),8.0)</f>
        <v>8</v>
      </c>
      <c r="B10" s="20" t="str">
        <f>IFERROR(__xludf.DUMMYFUNCTION("""COMPUTED_VALUE"""),"Nguyễn Ngọc Khánh")</f>
        <v>Nguyễn Ngọc Khánh</v>
      </c>
      <c r="C10" s="21" t="str">
        <f>IFERROR(__xludf.DUMMYFUNCTION("""COMPUTED_VALUE"""),"Đan")</f>
        <v>Đan</v>
      </c>
      <c r="D10" s="22">
        <v>8.0</v>
      </c>
      <c r="E10" s="22">
        <v>7.8</v>
      </c>
      <c r="F10" s="22">
        <v>8.8</v>
      </c>
      <c r="G10" s="22">
        <v>8.3</v>
      </c>
      <c r="H10" s="22">
        <v>8.4</v>
      </c>
      <c r="I10" s="22">
        <v>5.2</v>
      </c>
      <c r="J10" s="17">
        <f t="shared" si="1"/>
        <v>7.3</v>
      </c>
      <c r="K10" s="23" t="s">
        <v>15</v>
      </c>
    </row>
    <row r="11">
      <c r="A11" s="24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25">
        <v>6.0</v>
      </c>
      <c r="E11" s="26">
        <v>5.3</v>
      </c>
      <c r="F11" s="26">
        <v>5.8</v>
      </c>
      <c r="G11" s="26">
        <v>5.8</v>
      </c>
      <c r="H11" s="26">
        <v>7.0</v>
      </c>
      <c r="I11" s="26">
        <v>5.8</v>
      </c>
      <c r="J11" s="17">
        <f t="shared" si="1"/>
        <v>6</v>
      </c>
      <c r="K11" s="27" t="s">
        <v>16</v>
      </c>
    </row>
    <row r="12">
      <c r="A12" s="19">
        <f>IFERROR(__xludf.DUMMYFUNCTION("""COMPUTED_VALUE"""),10.0)</f>
        <v>10</v>
      </c>
      <c r="B12" s="20" t="str">
        <f>IFERROR(__xludf.DUMMYFUNCTION("""COMPUTED_VALUE"""),"Võ Hoàng Tuấn")</f>
        <v>Võ Hoàng Tuấn</v>
      </c>
      <c r="C12" s="21" t="str">
        <f>IFERROR(__xludf.DUMMYFUNCTION("""COMPUTED_VALUE"""),"Đạt")</f>
        <v>Đạt</v>
      </c>
      <c r="D12" s="22">
        <v>8.0</v>
      </c>
      <c r="E12" s="22">
        <v>5.0</v>
      </c>
      <c r="F12" s="22">
        <v>6.0</v>
      </c>
      <c r="G12" s="22">
        <v>5.0</v>
      </c>
      <c r="H12" s="22">
        <v>6.2</v>
      </c>
      <c r="I12" s="22">
        <v>3.0</v>
      </c>
      <c r="J12" s="17">
        <f t="shared" si="1"/>
        <v>5</v>
      </c>
      <c r="K12" s="23" t="s">
        <v>12</v>
      </c>
    </row>
    <row r="13">
      <c r="A13" s="24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25">
        <v>6.0</v>
      </c>
      <c r="E13" s="26">
        <v>7.0</v>
      </c>
      <c r="F13" s="26">
        <v>6.0</v>
      </c>
      <c r="G13" s="26">
        <v>3.8</v>
      </c>
      <c r="H13" s="26">
        <v>4.8</v>
      </c>
      <c r="I13" s="26">
        <v>4.4</v>
      </c>
      <c r="J13" s="17">
        <f t="shared" si="1"/>
        <v>5.1</v>
      </c>
      <c r="K13" s="27" t="s">
        <v>17</v>
      </c>
    </row>
    <row r="14">
      <c r="A14" s="19">
        <f>IFERROR(__xludf.DUMMYFUNCTION("""COMPUTED_VALUE"""),12.0)</f>
        <v>12</v>
      </c>
      <c r="B14" s="20" t="str">
        <f>IFERROR(__xludf.DUMMYFUNCTION("""COMPUTED_VALUE"""),"Nguyễn Hoàng")</f>
        <v>Nguyễn Hoàng</v>
      </c>
      <c r="C14" s="21" t="str">
        <f>IFERROR(__xludf.DUMMYFUNCTION("""COMPUTED_VALUE"""),"Huy")</f>
        <v>Huy</v>
      </c>
      <c r="D14" s="22">
        <v>7.0</v>
      </c>
      <c r="E14" s="22">
        <v>5.3</v>
      </c>
      <c r="F14" s="22">
        <v>6.0</v>
      </c>
      <c r="G14" s="22">
        <v>8.0</v>
      </c>
      <c r="H14" s="22">
        <v>6.4</v>
      </c>
      <c r="I14" s="22">
        <v>4.0</v>
      </c>
      <c r="J14" s="17">
        <f t="shared" si="1"/>
        <v>5.7</v>
      </c>
      <c r="K14" s="23" t="s">
        <v>18</v>
      </c>
    </row>
    <row r="15">
      <c r="A15" s="24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25">
        <v>7.0</v>
      </c>
      <c r="E15" s="26">
        <v>5.6</v>
      </c>
      <c r="F15" s="26">
        <v>6.0</v>
      </c>
      <c r="G15" s="26">
        <v>6.1</v>
      </c>
      <c r="H15" s="26">
        <v>6.4</v>
      </c>
      <c r="I15" s="26">
        <v>5.4</v>
      </c>
      <c r="J15" s="17">
        <f t="shared" si="1"/>
        <v>6</v>
      </c>
      <c r="K15" s="27" t="s">
        <v>19</v>
      </c>
    </row>
    <row r="16">
      <c r="A16" s="19">
        <f>IFERROR(__xludf.DUMMYFUNCTION("""COMPUTED_VALUE"""),14.0)</f>
        <v>14</v>
      </c>
      <c r="B16" s="20" t="str">
        <f>IFERROR(__xludf.DUMMYFUNCTION("""COMPUTED_VALUE"""),"Văn Quốc")</f>
        <v>Văn Quốc</v>
      </c>
      <c r="C16" s="21" t="str">
        <f>IFERROR(__xludf.DUMMYFUNCTION("""COMPUTED_VALUE"""),"Khánh")</f>
        <v>Khánh</v>
      </c>
      <c r="D16" s="22">
        <v>8.0</v>
      </c>
      <c r="E16" s="22">
        <v>7.9</v>
      </c>
      <c r="F16" s="22">
        <v>8.9</v>
      </c>
      <c r="G16" s="22">
        <v>8.2</v>
      </c>
      <c r="H16" s="22">
        <v>8.2</v>
      </c>
      <c r="I16" s="22">
        <v>7.2</v>
      </c>
      <c r="J16" s="17">
        <f t="shared" si="1"/>
        <v>7.9</v>
      </c>
      <c r="K16" s="23" t="s">
        <v>20</v>
      </c>
    </row>
    <row r="17">
      <c r="A17" s="24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25">
        <v>7.0</v>
      </c>
      <c r="E17" s="26">
        <v>7.0</v>
      </c>
      <c r="F17" s="26">
        <v>6.0</v>
      </c>
      <c r="G17" s="26">
        <v>7.0</v>
      </c>
      <c r="H17" s="26">
        <v>5.8</v>
      </c>
      <c r="I17" s="26">
        <v>5.0</v>
      </c>
      <c r="J17" s="17">
        <f t="shared" si="1"/>
        <v>6</v>
      </c>
      <c r="K17" s="27" t="s">
        <v>21</v>
      </c>
    </row>
    <row r="18">
      <c r="A18" s="19">
        <f>IFERROR(__xludf.DUMMYFUNCTION("""COMPUTED_VALUE"""),16.0)</f>
        <v>16</v>
      </c>
      <c r="B18" s="20" t="str">
        <f>IFERROR(__xludf.DUMMYFUNCTION("""COMPUTED_VALUE"""),"Tạ Nguyễn Vũ")</f>
        <v>Tạ Nguyễn Vũ</v>
      </c>
      <c r="C18" s="21" t="str">
        <f>IFERROR(__xludf.DUMMYFUNCTION("""COMPUTED_VALUE"""),"Khoa")</f>
        <v>Khoa</v>
      </c>
      <c r="D18" s="22">
        <v>7.0</v>
      </c>
      <c r="E18" s="22">
        <v>6.0</v>
      </c>
      <c r="F18" s="22">
        <v>5.5</v>
      </c>
      <c r="G18" s="22">
        <v>6.4</v>
      </c>
      <c r="H18" s="22">
        <v>6.8</v>
      </c>
      <c r="I18" s="22">
        <v>6.2</v>
      </c>
      <c r="J18" s="17">
        <f t="shared" si="1"/>
        <v>6.3</v>
      </c>
      <c r="K18" s="23" t="s">
        <v>22</v>
      </c>
    </row>
    <row r="19">
      <c r="A19" s="24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25">
        <v>8.0</v>
      </c>
      <c r="E19" s="26">
        <v>5.8</v>
      </c>
      <c r="F19" s="26">
        <v>5.5</v>
      </c>
      <c r="G19" s="26">
        <v>6.8</v>
      </c>
      <c r="H19" s="26">
        <v>7.0</v>
      </c>
      <c r="I19" s="26">
        <v>5.2</v>
      </c>
      <c r="J19" s="17">
        <f t="shared" si="1"/>
        <v>6.2</v>
      </c>
      <c r="K19" s="27" t="s">
        <v>23</v>
      </c>
    </row>
    <row r="20">
      <c r="A20" s="19">
        <f>IFERROR(__xludf.DUMMYFUNCTION("""COMPUTED_VALUE"""),18.0)</f>
        <v>18</v>
      </c>
      <c r="B20" s="20" t="str">
        <f>IFERROR(__xludf.DUMMYFUNCTION("""COMPUTED_VALUE"""),"Đặng Trung")</f>
        <v>Đặng Trung</v>
      </c>
      <c r="C20" s="21" t="str">
        <f>IFERROR(__xludf.DUMMYFUNCTION("""COMPUTED_VALUE"""),"Kiên")</f>
        <v>Kiên</v>
      </c>
      <c r="D20" s="22">
        <v>6.0</v>
      </c>
      <c r="E20" s="22">
        <v>5.0</v>
      </c>
      <c r="F20" s="22">
        <v>4.7</v>
      </c>
      <c r="G20" s="22">
        <v>4.7</v>
      </c>
      <c r="H20" s="22">
        <v>5.3</v>
      </c>
      <c r="I20" s="22">
        <v>4.6</v>
      </c>
      <c r="J20" s="17">
        <f t="shared" si="1"/>
        <v>5</v>
      </c>
      <c r="K20" s="23" t="s">
        <v>24</v>
      </c>
    </row>
    <row r="21">
      <c r="A21" s="24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25">
        <v>7.0</v>
      </c>
      <c r="E21" s="26">
        <v>6.0</v>
      </c>
      <c r="F21" s="26">
        <v>6.1</v>
      </c>
      <c r="G21" s="26">
        <v>6.4</v>
      </c>
      <c r="H21" s="26">
        <v>6.5</v>
      </c>
      <c r="I21" s="26">
        <v>3.0</v>
      </c>
      <c r="J21" s="17">
        <f t="shared" si="1"/>
        <v>5.3</v>
      </c>
      <c r="K21" s="27" t="s">
        <v>25</v>
      </c>
    </row>
    <row r="22">
      <c r="A22" s="19">
        <f>IFERROR(__xludf.DUMMYFUNCTION("""COMPUTED_VALUE"""),20.0)</f>
        <v>20</v>
      </c>
      <c r="B22" s="20" t="str">
        <f>IFERROR(__xludf.DUMMYFUNCTION("""COMPUTED_VALUE"""),"Trương Quang")</f>
        <v>Trương Quang</v>
      </c>
      <c r="C22" s="21" t="str">
        <f>IFERROR(__xludf.DUMMYFUNCTION("""COMPUTED_VALUE"""),"Nhật")</f>
        <v>Nhật</v>
      </c>
      <c r="D22" s="22">
        <v>7.0</v>
      </c>
      <c r="E22" s="22">
        <v>7.0</v>
      </c>
      <c r="F22" s="22">
        <v>7.0</v>
      </c>
      <c r="G22" s="22">
        <v>5.0</v>
      </c>
      <c r="H22" s="22">
        <v>6.0</v>
      </c>
      <c r="I22" s="22">
        <v>2.4</v>
      </c>
      <c r="J22" s="17">
        <f t="shared" si="1"/>
        <v>5</v>
      </c>
      <c r="K22" s="23" t="s">
        <v>26</v>
      </c>
    </row>
    <row r="23">
      <c r="A23" s="24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25">
        <v>8.0</v>
      </c>
      <c r="E23" s="26">
        <v>6.4</v>
      </c>
      <c r="F23" s="26">
        <v>6.4</v>
      </c>
      <c r="G23" s="26">
        <v>5.1</v>
      </c>
      <c r="H23" s="26">
        <v>6.4</v>
      </c>
      <c r="I23" s="26">
        <v>5.4</v>
      </c>
      <c r="J23" s="17">
        <f t="shared" si="1"/>
        <v>6.1</v>
      </c>
      <c r="K23" s="27" t="s">
        <v>27</v>
      </c>
    </row>
    <row r="24">
      <c r="A24" s="19">
        <f>IFERROR(__xludf.DUMMYFUNCTION("""COMPUTED_VALUE"""),22.0)</f>
        <v>22</v>
      </c>
      <c r="B24" s="20" t="str">
        <f>IFERROR(__xludf.DUMMYFUNCTION("""COMPUTED_VALUE"""),"Phạm Minh")</f>
        <v>Phạm Minh</v>
      </c>
      <c r="C24" s="21" t="str">
        <f>IFERROR(__xludf.DUMMYFUNCTION("""COMPUTED_VALUE"""),"Phát")</f>
        <v>Phát</v>
      </c>
      <c r="D24" s="22">
        <v>6.0</v>
      </c>
      <c r="E24" s="22">
        <v>7.0</v>
      </c>
      <c r="F24" s="22">
        <v>5.0</v>
      </c>
      <c r="G24" s="22">
        <v>6.0</v>
      </c>
      <c r="H24" s="22">
        <v>5.6</v>
      </c>
      <c r="I24" s="22">
        <v>3.4</v>
      </c>
      <c r="J24" s="17">
        <f t="shared" si="1"/>
        <v>5</v>
      </c>
      <c r="K24" s="23" t="s">
        <v>28</v>
      </c>
    </row>
    <row r="25">
      <c r="A25" s="24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25">
        <v>8.0</v>
      </c>
      <c r="E25" s="26">
        <v>7.6</v>
      </c>
      <c r="F25" s="26">
        <v>8.4</v>
      </c>
      <c r="G25" s="26">
        <v>8.0</v>
      </c>
      <c r="H25" s="26">
        <v>7.6</v>
      </c>
      <c r="I25" s="26">
        <v>5.2</v>
      </c>
      <c r="J25" s="17">
        <f t="shared" si="1"/>
        <v>7</v>
      </c>
      <c r="K25" s="27" t="s">
        <v>27</v>
      </c>
    </row>
    <row r="26">
      <c r="A26" s="19">
        <f>IFERROR(__xludf.DUMMYFUNCTION("""COMPUTED_VALUE"""),24.0)</f>
        <v>24</v>
      </c>
      <c r="B26" s="28" t="str">
        <f>IFERROR(__xludf.DUMMYFUNCTION("""COMPUTED_VALUE"""),"Trần Công")</f>
        <v>Trần Công</v>
      </c>
      <c r="C26" s="29" t="str">
        <f>IFERROR(__xludf.DUMMYFUNCTION("""COMPUTED_VALUE"""),"Thành")</f>
        <v>Thành</v>
      </c>
      <c r="D26" s="22">
        <v>6.0</v>
      </c>
      <c r="E26" s="22">
        <v>2.4</v>
      </c>
      <c r="F26" s="22">
        <v>6.0</v>
      </c>
      <c r="G26" s="22">
        <v>5.0</v>
      </c>
      <c r="H26" s="22">
        <v>6.3</v>
      </c>
      <c r="I26" s="22">
        <v>3.4</v>
      </c>
      <c r="J26" s="17">
        <f t="shared" si="1"/>
        <v>4.7</v>
      </c>
      <c r="K26" s="23" t="s">
        <v>11</v>
      </c>
    </row>
    <row r="27">
      <c r="A27" s="24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25">
        <v>6.0</v>
      </c>
      <c r="E27" s="26">
        <v>7.0</v>
      </c>
      <c r="F27" s="26">
        <v>5.0</v>
      </c>
      <c r="G27" s="26">
        <v>7.5</v>
      </c>
      <c r="H27" s="26">
        <v>5.4</v>
      </c>
      <c r="I27" s="26">
        <v>3.0</v>
      </c>
      <c r="J27" s="17">
        <f t="shared" si="1"/>
        <v>5</v>
      </c>
      <c r="K27" s="27" t="s">
        <v>28</v>
      </c>
    </row>
    <row r="28">
      <c r="A28" s="19">
        <f>IFERROR(__xludf.DUMMYFUNCTION("""COMPUTED_VALUE"""),26.0)</f>
        <v>26</v>
      </c>
      <c r="B28" s="20" t="str">
        <f>IFERROR(__xludf.DUMMYFUNCTION("""COMPUTED_VALUE"""),"Huỳnh Quốc")</f>
        <v>Huỳnh Quốc</v>
      </c>
      <c r="C28" s="21" t="str">
        <f>IFERROR(__xludf.DUMMYFUNCTION("""COMPUTED_VALUE"""),"Thiện")</f>
        <v>Thiện</v>
      </c>
      <c r="D28" s="22">
        <v>8.0</v>
      </c>
      <c r="E28" s="22">
        <v>8.0</v>
      </c>
      <c r="F28" s="22">
        <v>7.8</v>
      </c>
      <c r="G28" s="22">
        <v>8.6</v>
      </c>
      <c r="H28" s="22">
        <v>8.7</v>
      </c>
      <c r="I28" s="22">
        <v>7.0</v>
      </c>
      <c r="J28" s="17">
        <f t="shared" si="1"/>
        <v>7.9</v>
      </c>
      <c r="K28" s="23" t="s">
        <v>29</v>
      </c>
    </row>
    <row r="29">
      <c r="A29" s="24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25">
        <v>8.0</v>
      </c>
      <c r="E29" s="26">
        <v>5.3</v>
      </c>
      <c r="F29" s="26">
        <v>7.8</v>
      </c>
      <c r="G29" s="26">
        <v>5.4</v>
      </c>
      <c r="H29" s="26">
        <v>6.8</v>
      </c>
      <c r="I29" s="26">
        <v>4.6</v>
      </c>
      <c r="J29" s="17">
        <f t="shared" si="1"/>
        <v>6</v>
      </c>
      <c r="K29" s="27" t="s">
        <v>30</v>
      </c>
    </row>
    <row r="30">
      <c r="A30" s="19">
        <f>IFERROR(__xludf.DUMMYFUNCTION("""COMPUTED_VALUE"""),28.0)</f>
        <v>28</v>
      </c>
      <c r="B30" s="20" t="str">
        <f>IFERROR(__xludf.DUMMYFUNCTION("""COMPUTED_VALUE"""),"Nguyễn Văn")</f>
        <v>Nguyễn Văn</v>
      </c>
      <c r="C30" s="21" t="str">
        <f>IFERROR(__xludf.DUMMYFUNCTION("""COMPUTED_VALUE"""),"Tiệp")</f>
        <v>Tiệp</v>
      </c>
      <c r="D30" s="22">
        <v>7.0</v>
      </c>
      <c r="E30" s="22">
        <v>6.0</v>
      </c>
      <c r="F30" s="22">
        <v>6.8</v>
      </c>
      <c r="G30" s="22">
        <v>6.4</v>
      </c>
      <c r="H30" s="22">
        <v>6.8</v>
      </c>
      <c r="I30" s="22">
        <v>5.2</v>
      </c>
      <c r="J30" s="17">
        <f t="shared" si="1"/>
        <v>6.2</v>
      </c>
      <c r="K30" s="23" t="s">
        <v>31</v>
      </c>
    </row>
    <row r="31">
      <c r="A31" s="30">
        <f>IFERROR(__xludf.DUMMYFUNCTION("""COMPUTED_VALUE"""),29.0)</f>
        <v>29</v>
      </c>
      <c r="B31" s="31" t="str">
        <f>IFERROR(__xludf.DUMMYFUNCTION("""COMPUTED_VALUE"""),"Nguyễn Công")</f>
        <v>Nguyễn Công</v>
      </c>
      <c r="C31" s="32" t="str">
        <f>IFERROR(__xludf.DUMMYFUNCTION("""COMPUTED_VALUE"""),"Toản")</f>
        <v>Toản</v>
      </c>
      <c r="D31" s="25">
        <v>8.0</v>
      </c>
      <c r="E31" s="26">
        <v>7.0</v>
      </c>
      <c r="F31" s="26">
        <v>6.7</v>
      </c>
      <c r="G31" s="26">
        <v>7.0</v>
      </c>
      <c r="H31" s="26">
        <v>6.9</v>
      </c>
      <c r="I31" s="26">
        <v>5.8</v>
      </c>
      <c r="J31" s="17">
        <f t="shared" si="1"/>
        <v>6.7</v>
      </c>
      <c r="K31" s="27" t="s">
        <v>31</v>
      </c>
    </row>
    <row r="32">
      <c r="A32" s="33">
        <f>IFERROR(__xludf.DUMMYFUNCTION("""COMPUTED_VALUE"""),30.0)</f>
        <v>30</v>
      </c>
      <c r="B32" s="34" t="str">
        <f>IFERROR(__xludf.DUMMYFUNCTION("""COMPUTED_VALUE"""),"Nguyễn Thị Thu")</f>
        <v>Nguyễn Thị Thu</v>
      </c>
      <c r="C32" s="35" t="str">
        <f>IFERROR(__xludf.DUMMYFUNCTION("""COMPUTED_VALUE"""),"Trang")</f>
        <v>Trang</v>
      </c>
      <c r="D32" s="22">
        <v>8.0</v>
      </c>
      <c r="E32" s="22">
        <v>5.5</v>
      </c>
      <c r="F32" s="22">
        <v>5.0</v>
      </c>
      <c r="G32" s="22">
        <v>5.5</v>
      </c>
      <c r="H32" s="22">
        <v>6.6</v>
      </c>
      <c r="I32" s="22">
        <v>4.6</v>
      </c>
      <c r="J32" s="17">
        <f t="shared" si="1"/>
        <v>5.7</v>
      </c>
      <c r="K32" s="23" t="s">
        <v>32</v>
      </c>
    </row>
    <row r="33">
      <c r="A33" s="30">
        <f>IFERROR(__xludf.DUMMYFUNCTION("""COMPUTED_VALUE"""),31.0)</f>
        <v>31</v>
      </c>
      <c r="B33" s="36" t="str">
        <f>IFERROR(__xludf.DUMMYFUNCTION("""COMPUTED_VALUE"""),"Nguyễn Dương Minh")</f>
        <v>Nguyễn Dương Minh</v>
      </c>
      <c r="C33" s="37" t="str">
        <f>IFERROR(__xludf.DUMMYFUNCTION("""COMPUTED_VALUE"""),"Vũ")</f>
        <v>Vũ</v>
      </c>
      <c r="D33" s="25">
        <v>6.0</v>
      </c>
      <c r="E33" s="26">
        <v>6.0</v>
      </c>
      <c r="F33" s="26">
        <v>6.4</v>
      </c>
      <c r="G33" s="26">
        <v>6.0</v>
      </c>
      <c r="H33" s="26">
        <v>5.7</v>
      </c>
      <c r="I33" s="26">
        <v>4.4</v>
      </c>
      <c r="J33" s="17">
        <f t="shared" si="1"/>
        <v>5.4</v>
      </c>
      <c r="K33" s="27" t="s">
        <v>33</v>
      </c>
    </row>
    <row r="34">
      <c r="A34" s="30">
        <f>IFERROR(__xludf.DUMMYFUNCTION("""COMPUTED_VALUE"""),32.0)</f>
        <v>32</v>
      </c>
      <c r="B34" s="36" t="str">
        <f>IFERROR(__xludf.DUMMYFUNCTION("""COMPUTED_VALUE"""),"Trần Dương Hoàng")</f>
        <v>Trần Dương Hoàng</v>
      </c>
      <c r="C34" s="37" t="str">
        <f>IFERROR(__xludf.DUMMYFUNCTION("""COMPUTED_VALUE"""),"Yến")</f>
        <v>Yến</v>
      </c>
      <c r="D34" s="22">
        <v>8.0</v>
      </c>
      <c r="E34" s="22">
        <v>6.0</v>
      </c>
      <c r="F34" s="22">
        <v>8.0</v>
      </c>
      <c r="G34" s="22">
        <v>6.9</v>
      </c>
      <c r="H34" s="22">
        <v>7.0</v>
      </c>
      <c r="I34" s="22">
        <v>5.2</v>
      </c>
      <c r="J34" s="17">
        <f t="shared" si="1"/>
        <v>6.5</v>
      </c>
      <c r="K34" s="23" t="s">
        <v>27</v>
      </c>
    </row>
    <row r="35">
      <c r="A35" s="30"/>
      <c r="B35" s="36"/>
      <c r="C35" s="37"/>
      <c r="D35" s="38"/>
      <c r="E35" s="38"/>
      <c r="F35" s="38"/>
      <c r="G35" s="38"/>
      <c r="H35" s="38"/>
      <c r="I35" s="38"/>
      <c r="J35" s="39" t="str">
        <f t="shared" si="1"/>
        <v/>
      </c>
      <c r="K35" s="40"/>
    </row>
    <row r="36">
      <c r="A36" s="33"/>
      <c r="B36" s="41"/>
      <c r="C36" s="42"/>
      <c r="D36" s="38"/>
      <c r="E36" s="38"/>
      <c r="F36" s="38"/>
      <c r="G36" s="38"/>
      <c r="H36" s="38"/>
      <c r="I36" s="38"/>
      <c r="J36" s="39" t="str">
        <f t="shared" si="1"/>
        <v/>
      </c>
      <c r="K36" s="40"/>
    </row>
    <row r="37">
      <c r="A37" s="43"/>
      <c r="B37" s="44"/>
      <c r="C37" s="45"/>
      <c r="D37" s="38"/>
      <c r="E37" s="38"/>
      <c r="F37" s="38"/>
      <c r="G37" s="38"/>
      <c r="H37" s="38"/>
      <c r="I37" s="38"/>
      <c r="J37" s="39" t="str">
        <f t="shared" si="1"/>
        <v/>
      </c>
      <c r="K37" s="40"/>
    </row>
    <row r="38" ht="6.0" customHeight="1">
      <c r="A38" s="46"/>
      <c r="B38" s="47"/>
      <c r="C38" s="47"/>
      <c r="D38" s="48"/>
      <c r="E38" s="49"/>
      <c r="F38" s="49"/>
      <c r="G38" s="49"/>
      <c r="H38" s="49"/>
      <c r="I38" s="49"/>
      <c r="J38" s="49"/>
      <c r="K38" s="49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34</v>
      </c>
      <c r="B1" s="2"/>
      <c r="C1" s="2"/>
      <c r="D1" s="3" t="s">
        <v>35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38"/>
      <c r="E3" s="38"/>
      <c r="F3" s="38"/>
      <c r="G3" s="38"/>
      <c r="H3" s="38"/>
      <c r="I3" s="38"/>
      <c r="J3" s="39" t="str">
        <f t="shared" ref="J3:J37" si="1">if(counta(D3:I3)=0,"",round(average(D3:I3,H3:I3,I3),1))</f>
        <v/>
      </c>
      <c r="K3" s="40"/>
    </row>
    <row r="4">
      <c r="A4" s="19">
        <f>IFERROR(__xludf.DUMMYFUNCTION("""COMPUTED_VALUE"""),2.0)</f>
        <v>2</v>
      </c>
      <c r="B4" s="20" t="str">
        <f>IFERROR(__xludf.DUMMYFUNCTION("""COMPUTED_VALUE"""),"Nguyễn Trịnh Hoàng")</f>
        <v>Nguyễn Trịnh Hoàng</v>
      </c>
      <c r="C4" s="21" t="str">
        <f>IFERROR(__xludf.DUMMYFUNCTION("""COMPUTED_VALUE"""),"Anh")</f>
        <v>Anh</v>
      </c>
      <c r="D4" s="38"/>
      <c r="E4" s="38"/>
      <c r="F4" s="38"/>
      <c r="G4" s="38"/>
      <c r="H4" s="38"/>
      <c r="I4" s="38"/>
      <c r="J4" s="39" t="str">
        <f t="shared" si="1"/>
        <v/>
      </c>
      <c r="K4" s="40"/>
    </row>
    <row r="5">
      <c r="A5" s="24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38"/>
      <c r="E5" s="38"/>
      <c r="F5" s="38"/>
      <c r="G5" s="38"/>
      <c r="H5" s="38"/>
      <c r="I5" s="38"/>
      <c r="J5" s="39" t="str">
        <f t="shared" si="1"/>
        <v/>
      </c>
      <c r="K5" s="40"/>
    </row>
    <row r="6">
      <c r="A6" s="19">
        <f>IFERROR(__xludf.DUMMYFUNCTION("""COMPUTED_VALUE"""),4.0)</f>
        <v>4</v>
      </c>
      <c r="B6" s="20" t="str">
        <f>IFERROR(__xludf.DUMMYFUNCTION("""COMPUTED_VALUE"""),"Nguyễn Tuấn")</f>
        <v>Nguyễn Tuấn</v>
      </c>
      <c r="C6" s="21" t="str">
        <f>IFERROR(__xludf.DUMMYFUNCTION("""COMPUTED_VALUE"""),"Bảo")</f>
        <v>Bảo</v>
      </c>
      <c r="D6" s="38"/>
      <c r="E6" s="38"/>
      <c r="F6" s="38"/>
      <c r="G6" s="38"/>
      <c r="H6" s="38"/>
      <c r="I6" s="38"/>
      <c r="J6" s="39" t="str">
        <f t="shared" si="1"/>
        <v/>
      </c>
      <c r="K6" s="40"/>
    </row>
    <row r="7">
      <c r="A7" s="24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38"/>
      <c r="E7" s="38"/>
      <c r="F7" s="38"/>
      <c r="G7" s="38"/>
      <c r="H7" s="38"/>
      <c r="I7" s="38"/>
      <c r="J7" s="39" t="str">
        <f t="shared" si="1"/>
        <v/>
      </c>
      <c r="K7" s="40"/>
    </row>
    <row r="8">
      <c r="A8" s="19">
        <f>IFERROR(__xludf.DUMMYFUNCTION("""COMPUTED_VALUE"""),6.0)</f>
        <v>6</v>
      </c>
      <c r="B8" s="20" t="str">
        <f>IFERROR(__xludf.DUMMYFUNCTION("""COMPUTED_VALUE"""),"Lê Nguyễn Mạnh")</f>
        <v>Lê Nguyễn Mạnh</v>
      </c>
      <c r="C8" s="21" t="str">
        <f>IFERROR(__xludf.DUMMYFUNCTION("""COMPUTED_VALUE"""),"Dũng")</f>
        <v>Dũng</v>
      </c>
      <c r="D8" s="38"/>
      <c r="E8" s="38"/>
      <c r="F8" s="38"/>
      <c r="G8" s="38"/>
      <c r="H8" s="38"/>
      <c r="I8" s="38"/>
      <c r="J8" s="39" t="str">
        <f t="shared" si="1"/>
        <v/>
      </c>
      <c r="K8" s="40"/>
    </row>
    <row r="9">
      <c r="A9" s="24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38"/>
      <c r="E9" s="38"/>
      <c r="F9" s="38"/>
      <c r="G9" s="38"/>
      <c r="H9" s="38"/>
      <c r="I9" s="38"/>
      <c r="J9" s="39" t="str">
        <f t="shared" si="1"/>
        <v/>
      </c>
      <c r="K9" s="40"/>
    </row>
    <row r="10">
      <c r="A10" s="19">
        <f>IFERROR(__xludf.DUMMYFUNCTION("""COMPUTED_VALUE"""),8.0)</f>
        <v>8</v>
      </c>
      <c r="B10" s="20" t="str">
        <f>IFERROR(__xludf.DUMMYFUNCTION("""COMPUTED_VALUE"""),"Nguyễn Ngọc Khánh")</f>
        <v>Nguyễn Ngọc Khánh</v>
      </c>
      <c r="C10" s="21" t="str">
        <f>IFERROR(__xludf.DUMMYFUNCTION("""COMPUTED_VALUE"""),"Đan")</f>
        <v>Đan</v>
      </c>
      <c r="D10" s="38"/>
      <c r="E10" s="38"/>
      <c r="F10" s="38"/>
      <c r="G10" s="38"/>
      <c r="H10" s="38"/>
      <c r="I10" s="38"/>
      <c r="J10" s="39" t="str">
        <f t="shared" si="1"/>
        <v/>
      </c>
      <c r="K10" s="40"/>
    </row>
    <row r="11">
      <c r="A11" s="24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38"/>
      <c r="E11" s="38"/>
      <c r="F11" s="38"/>
      <c r="G11" s="38"/>
      <c r="H11" s="38"/>
      <c r="I11" s="38"/>
      <c r="J11" s="39" t="str">
        <f t="shared" si="1"/>
        <v/>
      </c>
      <c r="K11" s="40"/>
    </row>
    <row r="12">
      <c r="A12" s="19">
        <f>IFERROR(__xludf.DUMMYFUNCTION("""COMPUTED_VALUE"""),10.0)</f>
        <v>10</v>
      </c>
      <c r="B12" s="20" t="str">
        <f>IFERROR(__xludf.DUMMYFUNCTION("""COMPUTED_VALUE"""),"Võ Hoàng Tuấn")</f>
        <v>Võ Hoàng Tuấn</v>
      </c>
      <c r="C12" s="21" t="str">
        <f>IFERROR(__xludf.DUMMYFUNCTION("""COMPUTED_VALUE"""),"Đạt")</f>
        <v>Đạt</v>
      </c>
      <c r="D12" s="38"/>
      <c r="E12" s="38"/>
      <c r="F12" s="38"/>
      <c r="G12" s="38"/>
      <c r="H12" s="38"/>
      <c r="I12" s="38"/>
      <c r="J12" s="39" t="str">
        <f t="shared" si="1"/>
        <v/>
      </c>
      <c r="K12" s="40"/>
    </row>
    <row r="13">
      <c r="A13" s="24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38"/>
      <c r="E13" s="38"/>
      <c r="F13" s="38"/>
      <c r="G13" s="38"/>
      <c r="H13" s="38"/>
      <c r="I13" s="38"/>
      <c r="J13" s="39" t="str">
        <f t="shared" si="1"/>
        <v/>
      </c>
      <c r="K13" s="40"/>
    </row>
    <row r="14">
      <c r="A14" s="19">
        <f>IFERROR(__xludf.DUMMYFUNCTION("""COMPUTED_VALUE"""),12.0)</f>
        <v>12</v>
      </c>
      <c r="B14" s="20" t="str">
        <f>IFERROR(__xludf.DUMMYFUNCTION("""COMPUTED_VALUE"""),"Nguyễn Hoàng")</f>
        <v>Nguyễn Hoàng</v>
      </c>
      <c r="C14" s="21" t="str">
        <f>IFERROR(__xludf.DUMMYFUNCTION("""COMPUTED_VALUE"""),"Huy")</f>
        <v>Huy</v>
      </c>
      <c r="D14" s="38"/>
      <c r="E14" s="38"/>
      <c r="F14" s="38"/>
      <c r="G14" s="38"/>
      <c r="H14" s="38"/>
      <c r="I14" s="38"/>
      <c r="J14" s="39" t="str">
        <f t="shared" si="1"/>
        <v/>
      </c>
      <c r="K14" s="40"/>
    </row>
    <row r="15">
      <c r="A15" s="24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38"/>
      <c r="E15" s="38"/>
      <c r="F15" s="38"/>
      <c r="G15" s="38"/>
      <c r="H15" s="38"/>
      <c r="I15" s="38"/>
      <c r="J15" s="39" t="str">
        <f t="shared" si="1"/>
        <v/>
      </c>
      <c r="K15" s="40"/>
    </row>
    <row r="16">
      <c r="A16" s="19">
        <f>IFERROR(__xludf.DUMMYFUNCTION("""COMPUTED_VALUE"""),14.0)</f>
        <v>14</v>
      </c>
      <c r="B16" s="20" t="str">
        <f>IFERROR(__xludf.DUMMYFUNCTION("""COMPUTED_VALUE"""),"Văn Quốc")</f>
        <v>Văn Quốc</v>
      </c>
      <c r="C16" s="21" t="str">
        <f>IFERROR(__xludf.DUMMYFUNCTION("""COMPUTED_VALUE"""),"Khánh")</f>
        <v>Khánh</v>
      </c>
      <c r="D16" s="38"/>
      <c r="E16" s="38"/>
      <c r="F16" s="38"/>
      <c r="G16" s="38"/>
      <c r="H16" s="38"/>
      <c r="I16" s="38"/>
      <c r="J16" s="39" t="str">
        <f t="shared" si="1"/>
        <v/>
      </c>
      <c r="K16" s="40"/>
    </row>
    <row r="17">
      <c r="A17" s="24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38"/>
      <c r="E17" s="38"/>
      <c r="F17" s="38"/>
      <c r="G17" s="38"/>
      <c r="H17" s="38"/>
      <c r="I17" s="38"/>
      <c r="J17" s="39" t="str">
        <f t="shared" si="1"/>
        <v/>
      </c>
      <c r="K17" s="40"/>
    </row>
    <row r="18">
      <c r="A18" s="19">
        <f>IFERROR(__xludf.DUMMYFUNCTION("""COMPUTED_VALUE"""),16.0)</f>
        <v>16</v>
      </c>
      <c r="B18" s="20" t="str">
        <f>IFERROR(__xludf.DUMMYFUNCTION("""COMPUTED_VALUE"""),"Tạ Nguyễn Vũ")</f>
        <v>Tạ Nguyễn Vũ</v>
      </c>
      <c r="C18" s="21" t="str">
        <f>IFERROR(__xludf.DUMMYFUNCTION("""COMPUTED_VALUE"""),"Khoa")</f>
        <v>Khoa</v>
      </c>
      <c r="D18" s="38"/>
      <c r="E18" s="38"/>
      <c r="F18" s="38"/>
      <c r="G18" s="38"/>
      <c r="H18" s="38"/>
      <c r="I18" s="38"/>
      <c r="J18" s="39" t="str">
        <f t="shared" si="1"/>
        <v/>
      </c>
      <c r="K18" s="40"/>
    </row>
    <row r="19">
      <c r="A19" s="24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38"/>
      <c r="E19" s="38"/>
      <c r="F19" s="38"/>
      <c r="G19" s="38"/>
      <c r="H19" s="38"/>
      <c r="I19" s="38"/>
      <c r="J19" s="39" t="str">
        <f t="shared" si="1"/>
        <v/>
      </c>
      <c r="K19" s="40"/>
    </row>
    <row r="20">
      <c r="A20" s="19">
        <f>IFERROR(__xludf.DUMMYFUNCTION("""COMPUTED_VALUE"""),18.0)</f>
        <v>18</v>
      </c>
      <c r="B20" s="20" t="str">
        <f>IFERROR(__xludf.DUMMYFUNCTION("""COMPUTED_VALUE"""),"Đặng Trung")</f>
        <v>Đặng Trung</v>
      </c>
      <c r="C20" s="21" t="str">
        <f>IFERROR(__xludf.DUMMYFUNCTION("""COMPUTED_VALUE"""),"Kiên")</f>
        <v>Kiên</v>
      </c>
      <c r="D20" s="38"/>
      <c r="E20" s="38"/>
      <c r="F20" s="38"/>
      <c r="G20" s="38"/>
      <c r="H20" s="38"/>
      <c r="I20" s="38"/>
      <c r="J20" s="39" t="str">
        <f t="shared" si="1"/>
        <v/>
      </c>
      <c r="K20" s="40"/>
    </row>
    <row r="21">
      <c r="A21" s="24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38"/>
      <c r="E21" s="38"/>
      <c r="F21" s="38"/>
      <c r="G21" s="38"/>
      <c r="H21" s="38"/>
      <c r="I21" s="38"/>
      <c r="J21" s="39" t="str">
        <f t="shared" si="1"/>
        <v/>
      </c>
      <c r="K21" s="40"/>
    </row>
    <row r="22">
      <c r="A22" s="19">
        <f>IFERROR(__xludf.DUMMYFUNCTION("""COMPUTED_VALUE"""),20.0)</f>
        <v>20</v>
      </c>
      <c r="B22" s="20" t="str">
        <f>IFERROR(__xludf.DUMMYFUNCTION("""COMPUTED_VALUE"""),"Nguyễn Ngọc")</f>
        <v>Nguyễn Ngọc</v>
      </c>
      <c r="C22" s="21" t="str">
        <f>IFERROR(__xludf.DUMMYFUNCTION("""COMPUTED_VALUE"""),"Nguyên")</f>
        <v>Nguyên</v>
      </c>
      <c r="D22" s="38"/>
      <c r="E22" s="38"/>
      <c r="F22" s="38"/>
      <c r="G22" s="38"/>
      <c r="H22" s="38"/>
      <c r="I22" s="38"/>
      <c r="J22" s="39" t="str">
        <f t="shared" si="1"/>
        <v/>
      </c>
      <c r="K22" s="40"/>
    </row>
    <row r="23">
      <c r="A23" s="24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38"/>
      <c r="E23" s="38"/>
      <c r="F23" s="38"/>
      <c r="G23" s="38"/>
      <c r="H23" s="38"/>
      <c r="I23" s="38"/>
      <c r="J23" s="39" t="str">
        <f t="shared" si="1"/>
        <v/>
      </c>
      <c r="K23" s="40"/>
    </row>
    <row r="24">
      <c r="A24" s="19">
        <f>IFERROR(__xludf.DUMMYFUNCTION("""COMPUTED_VALUE"""),22.0)</f>
        <v>22</v>
      </c>
      <c r="B24" s="20" t="str">
        <f>IFERROR(__xludf.DUMMYFUNCTION("""COMPUTED_VALUE"""),"H ' Hoan")</f>
        <v>H ' Hoan</v>
      </c>
      <c r="C24" s="21" t="str">
        <f>IFERROR(__xludf.DUMMYFUNCTION("""COMPUTED_VALUE"""),"Niê")</f>
        <v>Niê</v>
      </c>
      <c r="D24" s="38"/>
      <c r="E24" s="38"/>
      <c r="F24" s="38"/>
      <c r="G24" s="38"/>
      <c r="H24" s="38"/>
      <c r="I24" s="38"/>
      <c r="J24" s="39" t="str">
        <f t="shared" si="1"/>
        <v/>
      </c>
      <c r="K24" s="40"/>
    </row>
    <row r="25">
      <c r="A25" s="24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38"/>
      <c r="E25" s="38"/>
      <c r="F25" s="38"/>
      <c r="G25" s="38"/>
      <c r="H25" s="38"/>
      <c r="I25" s="38"/>
      <c r="J25" s="39" t="str">
        <f t="shared" si="1"/>
        <v/>
      </c>
      <c r="K25" s="40"/>
    </row>
    <row r="26">
      <c r="A26" s="19">
        <f>IFERROR(__xludf.DUMMYFUNCTION("""COMPUTED_VALUE"""),24.0)</f>
        <v>24</v>
      </c>
      <c r="B26" s="28" t="str">
        <f>IFERROR(__xludf.DUMMYFUNCTION("""COMPUTED_VALUE"""),"Phan Bá")</f>
        <v>Phan Bá</v>
      </c>
      <c r="C26" s="29" t="str">
        <f>IFERROR(__xludf.DUMMYFUNCTION("""COMPUTED_VALUE"""),"Tân")</f>
        <v>Tân</v>
      </c>
      <c r="D26" s="38"/>
      <c r="E26" s="38"/>
      <c r="F26" s="38"/>
      <c r="G26" s="38"/>
      <c r="H26" s="38"/>
      <c r="I26" s="38"/>
      <c r="J26" s="39" t="str">
        <f t="shared" si="1"/>
        <v/>
      </c>
      <c r="K26" s="40"/>
    </row>
    <row r="27">
      <c r="A27" s="24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38"/>
      <c r="E27" s="38"/>
      <c r="F27" s="38"/>
      <c r="G27" s="38"/>
      <c r="H27" s="38"/>
      <c r="I27" s="38"/>
      <c r="J27" s="39" t="str">
        <f t="shared" si="1"/>
        <v/>
      </c>
      <c r="K27" s="40"/>
    </row>
    <row r="28">
      <c r="A28" s="19">
        <f>IFERROR(__xludf.DUMMYFUNCTION("""COMPUTED_VALUE"""),26.0)</f>
        <v>26</v>
      </c>
      <c r="B28" s="20" t="str">
        <f>IFERROR(__xludf.DUMMYFUNCTION("""COMPUTED_VALUE"""),"Lê Nguyễn Nhật")</f>
        <v>Lê Nguyễn Nhật</v>
      </c>
      <c r="C28" s="21" t="str">
        <f>IFERROR(__xludf.DUMMYFUNCTION("""COMPUTED_VALUE"""),"Thiên")</f>
        <v>Thiên</v>
      </c>
      <c r="D28" s="38"/>
      <c r="E28" s="38"/>
      <c r="F28" s="38"/>
      <c r="G28" s="38"/>
      <c r="H28" s="38"/>
      <c r="I28" s="38"/>
      <c r="J28" s="39" t="str">
        <f t="shared" si="1"/>
        <v/>
      </c>
      <c r="K28" s="40"/>
    </row>
    <row r="29">
      <c r="A29" s="24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38"/>
      <c r="E29" s="38"/>
      <c r="F29" s="38"/>
      <c r="G29" s="38"/>
      <c r="H29" s="38"/>
      <c r="I29" s="38"/>
      <c r="J29" s="39" t="str">
        <f t="shared" si="1"/>
        <v/>
      </c>
      <c r="K29" s="40"/>
    </row>
    <row r="30">
      <c r="A30" s="19">
        <f>IFERROR(__xludf.DUMMYFUNCTION("""COMPUTED_VALUE"""),28.0)</f>
        <v>28</v>
      </c>
      <c r="B30" s="20" t="str">
        <f>IFERROR(__xludf.DUMMYFUNCTION("""COMPUTED_VALUE"""),"Trần Viết Chí")</f>
        <v>Trần Viết Chí</v>
      </c>
      <c r="C30" s="21" t="str">
        <f>IFERROR(__xludf.DUMMYFUNCTION("""COMPUTED_VALUE"""),"Thiện")</f>
        <v>Thiện</v>
      </c>
      <c r="D30" s="38"/>
      <c r="E30" s="38"/>
      <c r="F30" s="38"/>
      <c r="G30" s="38"/>
      <c r="H30" s="38"/>
      <c r="I30" s="38"/>
      <c r="J30" s="39" t="str">
        <f t="shared" si="1"/>
        <v/>
      </c>
      <c r="K30" s="40"/>
    </row>
    <row r="31">
      <c r="A31" s="30">
        <f>IFERROR(__xludf.DUMMYFUNCTION("""COMPUTED_VALUE"""),29.0)</f>
        <v>29</v>
      </c>
      <c r="B31" s="31" t="str">
        <f>IFERROR(__xludf.DUMMYFUNCTION("""COMPUTED_VALUE"""),"Nguyễn Văn")</f>
        <v>Nguyễn Văn</v>
      </c>
      <c r="C31" s="32" t="str">
        <f>IFERROR(__xludf.DUMMYFUNCTION("""COMPUTED_VALUE"""),"Tiệp")</f>
        <v>Tiệp</v>
      </c>
      <c r="D31" s="38"/>
      <c r="E31" s="38"/>
      <c r="F31" s="38"/>
      <c r="G31" s="38"/>
      <c r="H31" s="38"/>
      <c r="I31" s="38"/>
      <c r="J31" s="39" t="str">
        <f t="shared" si="1"/>
        <v/>
      </c>
      <c r="K31" s="40"/>
    </row>
    <row r="32">
      <c r="A32" s="33">
        <f>IFERROR(__xludf.DUMMYFUNCTION("""COMPUTED_VALUE"""),30.0)</f>
        <v>30</v>
      </c>
      <c r="B32" s="34" t="str">
        <f>IFERROR(__xludf.DUMMYFUNCTION("""COMPUTED_VALUE"""),"Nguyễn Thị Thu")</f>
        <v>Nguyễn Thị Thu</v>
      </c>
      <c r="C32" s="35" t="str">
        <f>IFERROR(__xludf.DUMMYFUNCTION("""COMPUTED_VALUE"""),"Trang")</f>
        <v>Trang</v>
      </c>
      <c r="D32" s="38"/>
      <c r="E32" s="38"/>
      <c r="F32" s="38"/>
      <c r="G32" s="38"/>
      <c r="H32" s="38"/>
      <c r="I32" s="38"/>
      <c r="J32" s="39" t="str">
        <f t="shared" si="1"/>
        <v/>
      </c>
      <c r="K32" s="40"/>
    </row>
    <row r="33">
      <c r="A33" s="30">
        <f>IFERROR(__xludf.DUMMYFUNCTION("""COMPUTED_VALUE"""),31.0)</f>
        <v>31</v>
      </c>
      <c r="B33" s="36" t="str">
        <f>IFERROR(__xludf.DUMMYFUNCTION("""COMPUTED_VALUE"""),"Nguyễn Dương Minh")</f>
        <v>Nguyễn Dương Minh</v>
      </c>
      <c r="C33" s="37" t="str">
        <f>IFERROR(__xludf.DUMMYFUNCTION("""COMPUTED_VALUE"""),"Vũ")</f>
        <v>Vũ</v>
      </c>
      <c r="D33" s="38"/>
      <c r="E33" s="38"/>
      <c r="F33" s="38"/>
      <c r="G33" s="38"/>
      <c r="H33" s="38"/>
      <c r="I33" s="38"/>
      <c r="J33" s="39" t="str">
        <f t="shared" si="1"/>
        <v/>
      </c>
      <c r="K33" s="40"/>
    </row>
    <row r="34">
      <c r="A34" s="30">
        <f>IFERROR(__xludf.DUMMYFUNCTION("""COMPUTED_VALUE"""),32.0)</f>
        <v>32</v>
      </c>
      <c r="B34" s="36" t="str">
        <f>IFERROR(__xludf.DUMMYFUNCTION("""COMPUTED_VALUE"""),"Trần Dương Hoàng")</f>
        <v>Trần Dương Hoàng</v>
      </c>
      <c r="C34" s="37" t="str">
        <f>IFERROR(__xludf.DUMMYFUNCTION("""COMPUTED_VALUE"""),"Yến")</f>
        <v>Yến</v>
      </c>
      <c r="D34" s="38"/>
      <c r="E34" s="38"/>
      <c r="F34" s="38"/>
      <c r="G34" s="38"/>
      <c r="H34" s="38"/>
      <c r="I34" s="38"/>
      <c r="J34" s="39" t="str">
        <f t="shared" si="1"/>
        <v/>
      </c>
      <c r="K34" s="40"/>
    </row>
    <row r="35">
      <c r="A35" s="30">
        <f>IFERROR(__xludf.DUMMYFUNCTION("""COMPUTED_VALUE"""),33.0)</f>
        <v>33</v>
      </c>
      <c r="B35" s="36"/>
      <c r="C35" s="37"/>
      <c r="D35" s="38"/>
      <c r="E35" s="38"/>
      <c r="F35" s="38"/>
      <c r="G35" s="38"/>
      <c r="H35" s="38"/>
      <c r="I35" s="38"/>
      <c r="J35" s="39" t="str">
        <f t="shared" si="1"/>
        <v/>
      </c>
      <c r="K35" s="40"/>
    </row>
    <row r="36">
      <c r="A36" s="33"/>
      <c r="B36" s="41"/>
      <c r="C36" s="42"/>
      <c r="D36" s="38"/>
      <c r="E36" s="38"/>
      <c r="F36" s="38"/>
      <c r="G36" s="38"/>
      <c r="H36" s="38"/>
      <c r="I36" s="38"/>
      <c r="J36" s="39" t="str">
        <f t="shared" si="1"/>
        <v/>
      </c>
      <c r="K36" s="40"/>
    </row>
    <row r="37">
      <c r="A37" s="43"/>
      <c r="B37" s="44"/>
      <c r="C37" s="45"/>
      <c r="D37" s="38"/>
      <c r="E37" s="38"/>
      <c r="F37" s="38"/>
      <c r="G37" s="38"/>
      <c r="H37" s="38"/>
      <c r="I37" s="38"/>
      <c r="J37" s="39" t="str">
        <f t="shared" si="1"/>
        <v/>
      </c>
      <c r="K37" s="40"/>
    </row>
    <row r="38" ht="6.0" customHeight="1">
      <c r="A38" s="46"/>
      <c r="B38" s="47"/>
      <c r="C38" s="47"/>
      <c r="D38" s="48"/>
      <c r="E38" s="49"/>
      <c r="F38" s="49"/>
      <c r="G38" s="49"/>
      <c r="H38" s="49"/>
      <c r="I38" s="49"/>
      <c r="J38" s="49"/>
      <c r="K38" s="49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36</v>
      </c>
      <c r="B1" s="2"/>
      <c r="C1" s="2"/>
      <c r="D1" s="3" t="s">
        <v>37</v>
      </c>
    </row>
    <row r="2">
      <c r="A2" s="4" t="str">
        <f>'HK1'!A2:C2</f>
        <v>--- 12C2 ---</v>
      </c>
      <c r="B2" s="5"/>
      <c r="C2" s="5"/>
      <c r="D2" s="9" t="s">
        <v>38</v>
      </c>
      <c r="E2" s="9" t="s">
        <v>39</v>
      </c>
      <c r="F2" s="10" t="s">
        <v>40</v>
      </c>
      <c r="G2" s="50"/>
      <c r="H2" s="50"/>
      <c r="I2" s="50"/>
      <c r="J2" s="50"/>
      <c r="K2" s="50"/>
      <c r="L2" s="50"/>
      <c r="M2" s="50"/>
      <c r="N2" s="50"/>
    </row>
    <row r="3">
      <c r="A3" s="12">
        <f t="array" ref="A3:C37">'HK2'!A3:C37</f>
        <v>1</v>
      </c>
      <c r="B3" s="13" t="s">
        <v>41</v>
      </c>
      <c r="C3" s="14" t="s">
        <v>42</v>
      </c>
      <c r="D3" s="38">
        <f t="array" ref="D3:D37">'HK1'!J3:J37</f>
        <v>6.7</v>
      </c>
      <c r="E3" s="38" t="str">
        <f t="array" ref="E3:E37">'HK2'!J3:J37</f>
        <v/>
      </c>
      <c r="F3" s="51" t="str">
        <f t="shared" ref="F3:F37" si="1">IF(COUNT(D3:E3)&lt;&gt;2,"",ROUND((D3+E3*2)/3,1))</f>
        <v/>
      </c>
      <c r="G3" s="52"/>
      <c r="H3" s="53" t="s">
        <v>43</v>
      </c>
    </row>
    <row r="4">
      <c r="A4" s="19">
        <v>2.0</v>
      </c>
      <c r="B4" s="20" t="s">
        <v>44</v>
      </c>
      <c r="C4" s="21" t="s">
        <v>45</v>
      </c>
      <c r="D4" s="38">
        <v>5.7</v>
      </c>
      <c r="E4" s="38" t="s">
        <v>46</v>
      </c>
      <c r="F4" s="51" t="str">
        <f t="shared" si="1"/>
        <v/>
      </c>
      <c r="G4" s="52"/>
      <c r="H4" s="54"/>
      <c r="I4" s="55" t="s">
        <v>47</v>
      </c>
      <c r="J4" s="8"/>
      <c r="K4" s="56" t="s">
        <v>48</v>
      </c>
      <c r="L4" s="57"/>
      <c r="M4" s="58" t="s">
        <v>49</v>
      </c>
      <c r="N4" s="8"/>
    </row>
    <row r="5">
      <c r="A5" s="24">
        <v>3.0</v>
      </c>
      <c r="B5" s="13" t="s">
        <v>50</v>
      </c>
      <c r="C5" s="14" t="s">
        <v>51</v>
      </c>
      <c r="D5" s="38">
        <v>5.6</v>
      </c>
      <c r="E5" s="38" t="s">
        <v>46</v>
      </c>
      <c r="F5" s="51" t="str">
        <f t="shared" si="1"/>
        <v/>
      </c>
      <c r="G5" s="52"/>
      <c r="H5" s="59" t="s">
        <v>52</v>
      </c>
      <c r="I5" s="59">
        <f>COUNTIF(D3:D37,"&lt;2.0")</f>
        <v>0</v>
      </c>
      <c r="J5" s="60" t="str">
        <f t="shared" ref="J5:J11" si="2">IF(I5=0,"",I5/COUNT(($D$3:$D$37)))</f>
        <v/>
      </c>
      <c r="K5" s="61">
        <f>COUNTIF(E3:E37,"&lt;2.0")</f>
        <v>0</v>
      </c>
      <c r="L5" s="62" t="str">
        <f t="shared" ref="L5:L11" si="3">IF(K5=0,"",K5/COUNT(($E$3:$E$37)))</f>
        <v/>
      </c>
      <c r="M5" s="63">
        <f>COUNTIF(F3:F37,"&lt;2.0")</f>
        <v>0</v>
      </c>
      <c r="N5" s="64" t="str">
        <f t="shared" ref="N5:N11" si="4">IF(M5=0,"",M5/COUNT(($F$3:$F$37)))</f>
        <v/>
      </c>
    </row>
    <row r="6">
      <c r="A6" s="19">
        <v>4.0</v>
      </c>
      <c r="B6" s="20" t="s">
        <v>53</v>
      </c>
      <c r="C6" s="21" t="s">
        <v>51</v>
      </c>
      <c r="D6" s="38">
        <v>4.8</v>
      </c>
      <c r="E6" s="38" t="s">
        <v>46</v>
      </c>
      <c r="F6" s="51" t="str">
        <f t="shared" si="1"/>
        <v/>
      </c>
      <c r="G6" s="52"/>
      <c r="H6" s="59" t="s">
        <v>54</v>
      </c>
      <c r="I6" s="59">
        <f>COUNTIFS(D3:D37,"&gt;=2.0",D3:D37,"&lt;3.5")</f>
        <v>0</v>
      </c>
      <c r="J6" s="60" t="str">
        <f t="shared" si="2"/>
        <v/>
      </c>
      <c r="K6" s="61">
        <f>COUNTIFS(E3:E37,"&gt;=2.0",E3:E37,"&lt;3.5")</f>
        <v>0</v>
      </c>
      <c r="L6" s="62" t="str">
        <f t="shared" si="3"/>
        <v/>
      </c>
      <c r="M6" s="63">
        <f>COUNTIFS(F3:F37,"&gt;=2.0",F3:F37,"&lt;3.5")</f>
        <v>0</v>
      </c>
      <c r="N6" s="64" t="str">
        <f t="shared" si="4"/>
        <v/>
      </c>
    </row>
    <row r="7">
      <c r="A7" s="24">
        <v>5.0</v>
      </c>
      <c r="B7" s="13" t="s">
        <v>55</v>
      </c>
      <c r="C7" s="14" t="s">
        <v>56</v>
      </c>
      <c r="D7" s="38">
        <v>5.0</v>
      </c>
      <c r="E7" s="38" t="s">
        <v>46</v>
      </c>
      <c r="F7" s="51" t="str">
        <f t="shared" si="1"/>
        <v/>
      </c>
      <c r="G7" s="52"/>
      <c r="H7" s="59" t="s">
        <v>57</v>
      </c>
      <c r="I7" s="59">
        <f>COUNTIFS(D3:D37,"&gt;=3.5",D3:D37,"&lt;5.0")</f>
        <v>2</v>
      </c>
      <c r="J7" s="60">
        <f t="shared" si="2"/>
        <v>0.0625</v>
      </c>
      <c r="K7" s="61">
        <f>COUNTIFS(E3:E37,"&gt;=3.5",E3:E37,"&lt;5.0")</f>
        <v>0</v>
      </c>
      <c r="L7" s="62" t="str">
        <f t="shared" si="3"/>
        <v/>
      </c>
      <c r="M7" s="63">
        <f>COUNTIFS(F3:F37,"&gt;=3.5",F3:F37,"&lt;5.0")</f>
        <v>0</v>
      </c>
      <c r="N7" s="64" t="str">
        <f t="shared" si="4"/>
        <v/>
      </c>
    </row>
    <row r="8">
      <c r="A8" s="19">
        <v>6.0</v>
      </c>
      <c r="B8" s="20" t="s">
        <v>58</v>
      </c>
      <c r="C8" s="21" t="s">
        <v>59</v>
      </c>
      <c r="D8" s="38">
        <v>5.1</v>
      </c>
      <c r="E8" s="38" t="s">
        <v>46</v>
      </c>
      <c r="F8" s="51" t="str">
        <f t="shared" si="1"/>
        <v/>
      </c>
      <c r="G8" s="52"/>
      <c r="H8" s="65" t="s">
        <v>60</v>
      </c>
      <c r="I8" s="65">
        <f>COUNTIF(D3:D37,"&lt;5.0")</f>
        <v>2</v>
      </c>
      <c r="J8" s="66">
        <f t="shared" si="2"/>
        <v>0.0625</v>
      </c>
      <c r="K8" s="67">
        <f>COUNTIF(E3:E37,"&lt;5.0")</f>
        <v>0</v>
      </c>
      <c r="L8" s="68" t="str">
        <f t="shared" si="3"/>
        <v/>
      </c>
      <c r="M8" s="69">
        <f>COUNTIF(F3:F37,"&lt;5.0")</f>
        <v>0</v>
      </c>
      <c r="N8" s="70" t="str">
        <f t="shared" si="4"/>
        <v/>
      </c>
    </row>
    <row r="9">
      <c r="A9" s="24">
        <v>7.0</v>
      </c>
      <c r="B9" s="13" t="s">
        <v>61</v>
      </c>
      <c r="C9" s="14" t="s">
        <v>62</v>
      </c>
      <c r="D9" s="38">
        <v>6.7</v>
      </c>
      <c r="E9" s="38" t="s">
        <v>46</v>
      </c>
      <c r="F9" s="51" t="str">
        <f t="shared" si="1"/>
        <v/>
      </c>
      <c r="G9" s="52"/>
      <c r="H9" s="59" t="s">
        <v>63</v>
      </c>
      <c r="I9" s="59">
        <f>COUNTIFS(D3:D37,"&gt;=5.0",D3:D37,"&lt;6.5")</f>
        <v>22</v>
      </c>
      <c r="J9" s="60">
        <f t="shared" si="2"/>
        <v>0.6875</v>
      </c>
      <c r="K9" s="61">
        <f>COUNTIFS(E3:E37,"&gt;=5.0",E3:E37,"&lt;6.5")</f>
        <v>0</v>
      </c>
      <c r="L9" s="62" t="str">
        <f t="shared" si="3"/>
        <v/>
      </c>
      <c r="M9" s="63">
        <f>COUNTIFS(F3:F37,"&gt;=5.0",F3:F37,"&lt;6.5")</f>
        <v>0</v>
      </c>
      <c r="N9" s="64" t="str">
        <f t="shared" si="4"/>
        <v/>
      </c>
    </row>
    <row r="10">
      <c r="A10" s="19">
        <v>8.0</v>
      </c>
      <c r="B10" s="20" t="s">
        <v>64</v>
      </c>
      <c r="C10" s="21" t="s">
        <v>65</v>
      </c>
      <c r="D10" s="38">
        <v>7.3</v>
      </c>
      <c r="E10" s="38" t="s">
        <v>46</v>
      </c>
      <c r="F10" s="51" t="str">
        <f t="shared" si="1"/>
        <v/>
      </c>
      <c r="G10" s="52"/>
      <c r="H10" s="59" t="s">
        <v>66</v>
      </c>
      <c r="I10" s="59">
        <f>COUNTIFS(D3:D37,"&gt;=6.5",D3:D37,"&lt;8.0")</f>
        <v>8</v>
      </c>
      <c r="J10" s="60">
        <f t="shared" si="2"/>
        <v>0.25</v>
      </c>
      <c r="K10" s="61">
        <f>COUNTIFS(E3:E37,"&gt;=6.5",E3:E37,"&lt;8.0")</f>
        <v>0</v>
      </c>
      <c r="L10" s="62" t="str">
        <f t="shared" si="3"/>
        <v/>
      </c>
      <c r="M10" s="63">
        <f>COUNTIFS(F3:F37,"&gt;=6.5",F3:F37,"&lt;8.0")</f>
        <v>0</v>
      </c>
      <c r="N10" s="64" t="str">
        <f t="shared" si="4"/>
        <v/>
      </c>
    </row>
    <row r="11">
      <c r="A11" s="24">
        <v>9.0</v>
      </c>
      <c r="B11" s="13" t="s">
        <v>67</v>
      </c>
      <c r="C11" s="14" t="s">
        <v>68</v>
      </c>
      <c r="D11" s="38">
        <v>6.0</v>
      </c>
      <c r="E11" s="38" t="s">
        <v>46</v>
      </c>
      <c r="F11" s="51" t="str">
        <f t="shared" si="1"/>
        <v/>
      </c>
      <c r="G11" s="52"/>
      <c r="H11" s="59" t="s">
        <v>69</v>
      </c>
      <c r="I11" s="59">
        <f>COUNTIF(D3:D37,"&gt;=8.0")</f>
        <v>0</v>
      </c>
      <c r="J11" s="60" t="str">
        <f t="shared" si="2"/>
        <v/>
      </c>
      <c r="K11" s="61">
        <f>COUNTIF(E3:E37,"&gt;=8.0")</f>
        <v>0</v>
      </c>
      <c r="L11" s="62" t="str">
        <f t="shared" si="3"/>
        <v/>
      </c>
      <c r="M11" s="63">
        <f>COUNTIF(F3:F37,"&gt;=8.0")</f>
        <v>0</v>
      </c>
      <c r="N11" s="64" t="str">
        <f t="shared" si="4"/>
        <v/>
      </c>
    </row>
    <row r="12">
      <c r="A12" s="19">
        <v>10.0</v>
      </c>
      <c r="B12" s="20" t="s">
        <v>70</v>
      </c>
      <c r="C12" s="21" t="s">
        <v>68</v>
      </c>
      <c r="D12" s="38">
        <v>5.0</v>
      </c>
      <c r="E12" s="38" t="s">
        <v>46</v>
      </c>
      <c r="F12" s="51" t="str">
        <f t="shared" si="1"/>
        <v/>
      </c>
      <c r="G12" s="52"/>
      <c r="H12" s="52"/>
      <c r="I12" s="52"/>
      <c r="J12" s="52"/>
      <c r="K12" s="52"/>
      <c r="L12" s="52"/>
      <c r="M12" s="52"/>
      <c r="N12" s="52"/>
    </row>
    <row r="13">
      <c r="A13" s="24">
        <v>11.0</v>
      </c>
      <c r="B13" s="13" t="s">
        <v>71</v>
      </c>
      <c r="C13" s="14" t="s">
        <v>72</v>
      </c>
      <c r="D13" s="38">
        <v>5.1</v>
      </c>
      <c r="E13" s="38" t="s">
        <v>46</v>
      </c>
      <c r="F13" s="51" t="str">
        <f t="shared" si="1"/>
        <v/>
      </c>
      <c r="G13" s="52"/>
      <c r="H13" s="53" t="s">
        <v>73</v>
      </c>
      <c r="M13" s="53"/>
      <c r="N13" s="53"/>
    </row>
    <row r="14">
      <c r="A14" s="19">
        <v>12.0</v>
      </c>
      <c r="B14" s="20" t="s">
        <v>74</v>
      </c>
      <c r="C14" s="21" t="s">
        <v>75</v>
      </c>
      <c r="D14" s="38">
        <v>5.7</v>
      </c>
      <c r="E14" s="38" t="s">
        <v>46</v>
      </c>
      <c r="F14" s="51" t="str">
        <f t="shared" si="1"/>
        <v/>
      </c>
      <c r="G14" s="52"/>
      <c r="H14" s="54"/>
      <c r="I14" s="55" t="s">
        <v>47</v>
      </c>
      <c r="J14" s="57"/>
      <c r="K14" s="58" t="s">
        <v>48</v>
      </c>
      <c r="L14" s="8"/>
      <c r="M14" s="53"/>
    </row>
    <row r="15">
      <c r="A15" s="24">
        <v>13.0</v>
      </c>
      <c r="B15" s="13" t="s">
        <v>76</v>
      </c>
      <c r="C15" s="14" t="s">
        <v>75</v>
      </c>
      <c r="D15" s="38">
        <v>6.0</v>
      </c>
      <c r="E15" s="38" t="s">
        <v>46</v>
      </c>
      <c r="F15" s="51" t="str">
        <f t="shared" si="1"/>
        <v/>
      </c>
      <c r="G15" s="52"/>
      <c r="H15" s="59" t="s">
        <v>52</v>
      </c>
      <c r="I15" s="59">
        <f>COUNTIF('HK1'!$I$3:$I$37,"&lt;2.0")</f>
        <v>0</v>
      </c>
      <c r="J15" s="62" t="str">
        <f>IF(I15=0,"",I15/COUNT(('HK1'!$I$3:$I$37)))</f>
        <v/>
      </c>
      <c r="K15" s="63">
        <f>COUNTIF('HK2'!$I$3:$I$37,"&lt;2.0")</f>
        <v>0</v>
      </c>
      <c r="L15" s="62" t="str">
        <f>IF(K15=0,"",K15/COUNT(('HK2'!$I$3:$I$37)))</f>
        <v/>
      </c>
      <c r="M15" s="52"/>
      <c r="N15" s="71"/>
    </row>
    <row r="16">
      <c r="A16" s="19">
        <v>14.0</v>
      </c>
      <c r="B16" s="20" t="s">
        <v>77</v>
      </c>
      <c r="C16" s="21" t="s">
        <v>78</v>
      </c>
      <c r="D16" s="38">
        <v>7.9</v>
      </c>
      <c r="E16" s="38" t="s">
        <v>46</v>
      </c>
      <c r="F16" s="51" t="str">
        <f t="shared" si="1"/>
        <v/>
      </c>
      <c r="G16" s="52"/>
      <c r="H16" s="59" t="s">
        <v>54</v>
      </c>
      <c r="I16" s="59">
        <f>COUNTIFS('HK1'!$I$3:$I$37,"&gt;=2.0",'HK1'!$I$3:$I$37,"&lt;3.5")</f>
        <v>7</v>
      </c>
      <c r="J16" s="62">
        <f>IF(I16=0,"",I16/COUNT(('HK1'!$I$3:$I$37)))</f>
        <v>0.21875</v>
      </c>
      <c r="K16" s="63">
        <f>COUNTIFS('HK2'!$I$3:$I$37,"&gt;=2.0",'HK2'!$I$3:$I$37,"&lt;3.5")</f>
        <v>0</v>
      </c>
      <c r="L16" s="62" t="str">
        <f>IF(K16=0,"",K16/COUNT(('HK2'!$I$3:$I$37)))</f>
        <v/>
      </c>
      <c r="M16" s="52"/>
      <c r="N16" s="71"/>
    </row>
    <row r="17">
      <c r="A17" s="24">
        <v>15.0</v>
      </c>
      <c r="B17" s="13" t="s">
        <v>79</v>
      </c>
      <c r="C17" s="14" t="s">
        <v>80</v>
      </c>
      <c r="D17" s="38">
        <v>6.0</v>
      </c>
      <c r="E17" s="38" t="s">
        <v>46</v>
      </c>
      <c r="F17" s="51" t="str">
        <f t="shared" si="1"/>
        <v/>
      </c>
      <c r="G17" s="52"/>
      <c r="H17" s="59" t="s">
        <v>57</v>
      </c>
      <c r="I17" s="59">
        <f>COUNTIFS('HK1'!$I$3:$I$37,"&gt;=3.5",'HK1'!$I$3:$I$37,"&lt;5.0")</f>
        <v>11</v>
      </c>
      <c r="J17" s="62">
        <f>IF(I17=0,"",I17/COUNT(('HK1'!$I$3:$I$37)))</f>
        <v>0.34375</v>
      </c>
      <c r="K17" s="63">
        <f>COUNTIFS('HK2'!$I$3:$I$37,"&gt;=3.5",'HK2'!$I$3:$I$37,"&lt;5.0")</f>
        <v>0</v>
      </c>
      <c r="L17" s="62" t="str">
        <f>IF(K17=0,"",K17/COUNT(('HK2'!$I$3:$I$37)))</f>
        <v/>
      </c>
      <c r="M17" s="52"/>
      <c r="N17" s="71"/>
    </row>
    <row r="18">
      <c r="A18" s="19">
        <v>16.0</v>
      </c>
      <c r="B18" s="20" t="s">
        <v>81</v>
      </c>
      <c r="C18" s="21" t="s">
        <v>80</v>
      </c>
      <c r="D18" s="38">
        <v>6.3</v>
      </c>
      <c r="E18" s="38" t="s">
        <v>46</v>
      </c>
      <c r="F18" s="51" t="str">
        <f t="shared" si="1"/>
        <v/>
      </c>
      <c r="G18" s="52"/>
      <c r="H18" s="65" t="s">
        <v>60</v>
      </c>
      <c r="I18" s="65">
        <f>COUNTIF('HK1'!$I$3:$I$37,"&lt;5.0")</f>
        <v>18</v>
      </c>
      <c r="J18" s="72">
        <f>IF(I18=0,"",I18/COUNT(('HK1'!$I$3:$I$37)))</f>
        <v>0.5625</v>
      </c>
      <c r="K18" s="69">
        <f>COUNTIF('HK2'!$I$3:$I$37,"&lt;5.0")</f>
        <v>0</v>
      </c>
      <c r="L18" s="72" t="str">
        <f>IF(K18=0,"",K18/COUNT(('HK2'!$I$3:$I$37)))</f>
        <v/>
      </c>
      <c r="M18" s="73"/>
      <c r="N18" s="74"/>
    </row>
    <row r="19">
      <c r="A19" s="24">
        <v>17.0</v>
      </c>
      <c r="B19" s="13" t="s">
        <v>82</v>
      </c>
      <c r="C19" s="14" t="s">
        <v>83</v>
      </c>
      <c r="D19" s="38">
        <v>6.2</v>
      </c>
      <c r="E19" s="38" t="s">
        <v>46</v>
      </c>
      <c r="F19" s="51" t="str">
        <f t="shared" si="1"/>
        <v/>
      </c>
      <c r="G19" s="52"/>
      <c r="H19" s="59" t="s">
        <v>63</v>
      </c>
      <c r="I19" s="59">
        <f>COUNTIFS('HK1'!$I$3:$I$37,"&gt;=5.0",'HK1'!$I$3:$I$37,"&lt;6.5")</f>
        <v>12</v>
      </c>
      <c r="J19" s="62">
        <f>IF(I19=0,"",I19/COUNT(('HK1'!$I$3:$I$37)))</f>
        <v>0.375</v>
      </c>
      <c r="K19" s="63">
        <f>COUNTIFS('HK2'!$I$3:$I$37,"&gt;=5.0",'HK2'!$I$3:$I$37,"&lt;6.5")</f>
        <v>0</v>
      </c>
      <c r="L19" s="62" t="str">
        <f>IF(K19=0,"",K19/COUNT(('HK2'!$I$3:$I$37)))</f>
        <v/>
      </c>
      <c r="M19" s="52"/>
      <c r="N19" s="71"/>
    </row>
    <row r="20">
      <c r="A20" s="19">
        <v>18.0</v>
      </c>
      <c r="B20" s="20" t="s">
        <v>84</v>
      </c>
      <c r="C20" s="21" t="s">
        <v>85</v>
      </c>
      <c r="D20" s="38">
        <v>5.0</v>
      </c>
      <c r="E20" s="38" t="s">
        <v>46</v>
      </c>
      <c r="F20" s="51" t="str">
        <f t="shared" si="1"/>
        <v/>
      </c>
      <c r="G20" s="52"/>
      <c r="H20" s="59" t="s">
        <v>66</v>
      </c>
      <c r="I20" s="59">
        <f>COUNTIFS('HK1'!$I$3:$I$37,"&gt;=6.5",'HK1'!$I$3:$I$37,"&lt;8.0")</f>
        <v>2</v>
      </c>
      <c r="J20" s="62">
        <f>IF(I20=0,"",I20/COUNT(('HK1'!$I$3:$I$37)))</f>
        <v>0.0625</v>
      </c>
      <c r="K20" s="63">
        <f>COUNTIFS('HK2'!$I$3:$I$37,"&gt;=6.5",'HK2'!$I$3:$I$37,"&lt;8.0")</f>
        <v>0</v>
      </c>
      <c r="L20" s="62" t="str">
        <f>IF(K20=0,"",K20/COUNT(('HK2'!$I$3:$I$37)))</f>
        <v/>
      </c>
      <c r="M20" s="52"/>
      <c r="N20" s="71"/>
    </row>
    <row r="21">
      <c r="A21" s="24">
        <v>19.0</v>
      </c>
      <c r="B21" s="13" t="s">
        <v>86</v>
      </c>
      <c r="C21" s="14" t="s">
        <v>87</v>
      </c>
      <c r="D21" s="38">
        <v>5.3</v>
      </c>
      <c r="E21" s="38" t="s">
        <v>46</v>
      </c>
      <c r="F21" s="51" t="str">
        <f t="shared" si="1"/>
        <v/>
      </c>
      <c r="G21" s="52"/>
      <c r="H21" s="59" t="s">
        <v>69</v>
      </c>
      <c r="I21" s="59">
        <f>COUNTIF('HK1'!$I$3:$I$37,"&gt;=8.0")</f>
        <v>0</v>
      </c>
      <c r="J21" s="62" t="str">
        <f>IF(I21=0,"",I21/COUNT(('HK1'!$I$3:$I$37)))</f>
        <v/>
      </c>
      <c r="K21" s="63">
        <f>COUNTIF('HK2'!$I$3:$I$37,"&gt;=8.0")</f>
        <v>0</v>
      </c>
      <c r="L21" s="62" t="str">
        <f>IF(K21=0,"",K21/COUNT(('HK2'!$I$3:$I$37)))</f>
        <v/>
      </c>
      <c r="M21" s="52"/>
      <c r="N21" s="71"/>
    </row>
    <row r="22">
      <c r="A22" s="19">
        <v>20.0</v>
      </c>
      <c r="B22" s="20" t="s">
        <v>88</v>
      </c>
      <c r="C22" s="21" t="s">
        <v>89</v>
      </c>
      <c r="D22" s="38">
        <v>5.0</v>
      </c>
      <c r="E22" s="38" t="s">
        <v>46</v>
      </c>
      <c r="F22" s="51" t="str">
        <f t="shared" si="1"/>
        <v/>
      </c>
      <c r="G22" s="52"/>
      <c r="H22" s="52"/>
      <c r="I22" s="52"/>
      <c r="J22" s="52"/>
      <c r="K22" s="52"/>
      <c r="L22" s="52"/>
      <c r="M22" s="52"/>
      <c r="N22" s="52"/>
    </row>
    <row r="23">
      <c r="A23" s="24">
        <v>21.0</v>
      </c>
      <c r="B23" s="13" t="s">
        <v>90</v>
      </c>
      <c r="C23" s="14" t="s">
        <v>91</v>
      </c>
      <c r="D23" s="38">
        <v>6.1</v>
      </c>
      <c r="E23" s="38" t="s">
        <v>46</v>
      </c>
      <c r="F23" s="51" t="str">
        <f t="shared" si="1"/>
        <v/>
      </c>
      <c r="G23" s="52"/>
      <c r="H23" s="52"/>
      <c r="I23" s="52"/>
      <c r="J23" s="52"/>
      <c r="K23" s="52"/>
      <c r="L23" s="52"/>
      <c r="M23" s="52"/>
      <c r="N23" s="52"/>
    </row>
    <row r="24">
      <c r="A24" s="19">
        <v>22.0</v>
      </c>
      <c r="B24" s="20" t="s">
        <v>92</v>
      </c>
      <c r="C24" s="21" t="s">
        <v>93</v>
      </c>
      <c r="D24" s="38">
        <v>5.0</v>
      </c>
      <c r="E24" s="38" t="s">
        <v>46</v>
      </c>
      <c r="F24" s="51" t="str">
        <f t="shared" si="1"/>
        <v/>
      </c>
      <c r="G24" s="52"/>
      <c r="H24" s="52"/>
      <c r="I24" s="52"/>
      <c r="J24" s="52"/>
      <c r="K24" s="52"/>
      <c r="L24" s="52"/>
      <c r="M24" s="52"/>
      <c r="N24" s="52"/>
    </row>
    <row r="25">
      <c r="A25" s="24">
        <v>23.0</v>
      </c>
      <c r="B25" s="13" t="s">
        <v>94</v>
      </c>
      <c r="C25" s="14" t="s">
        <v>95</v>
      </c>
      <c r="D25" s="38">
        <v>7.0</v>
      </c>
      <c r="E25" s="38" t="s">
        <v>46</v>
      </c>
      <c r="F25" s="51" t="str">
        <f t="shared" si="1"/>
        <v/>
      </c>
      <c r="G25" s="52"/>
      <c r="H25" s="52"/>
      <c r="I25" s="52"/>
      <c r="J25" s="52"/>
      <c r="K25" s="52"/>
      <c r="L25" s="52"/>
      <c r="M25" s="52"/>
      <c r="N25" s="52"/>
    </row>
    <row r="26">
      <c r="A26" s="19">
        <v>24.0</v>
      </c>
      <c r="B26" s="28" t="s">
        <v>96</v>
      </c>
      <c r="C26" s="29" t="s">
        <v>97</v>
      </c>
      <c r="D26" s="38">
        <v>4.7</v>
      </c>
      <c r="E26" s="38" t="s">
        <v>46</v>
      </c>
      <c r="F26" s="51" t="str">
        <f t="shared" si="1"/>
        <v/>
      </c>
      <c r="G26" s="52"/>
      <c r="H26" s="52"/>
      <c r="I26" s="52"/>
      <c r="J26" s="52"/>
      <c r="K26" s="52"/>
      <c r="L26" s="52"/>
      <c r="M26" s="52"/>
      <c r="N26" s="52"/>
    </row>
    <row r="27">
      <c r="A27" s="24">
        <v>25.0</v>
      </c>
      <c r="B27" s="13" t="s">
        <v>98</v>
      </c>
      <c r="C27" s="14" t="s">
        <v>99</v>
      </c>
      <c r="D27" s="38">
        <v>5.0</v>
      </c>
      <c r="E27" s="38" t="s">
        <v>46</v>
      </c>
      <c r="F27" s="51" t="str">
        <f t="shared" si="1"/>
        <v/>
      </c>
      <c r="G27" s="52"/>
      <c r="H27" s="52"/>
      <c r="I27" s="52"/>
      <c r="J27" s="52"/>
      <c r="K27" s="52"/>
      <c r="L27" s="52"/>
      <c r="M27" s="52"/>
      <c r="N27" s="52"/>
    </row>
    <row r="28">
      <c r="A28" s="19">
        <v>26.0</v>
      </c>
      <c r="B28" s="20" t="s">
        <v>100</v>
      </c>
      <c r="C28" s="21" t="s">
        <v>101</v>
      </c>
      <c r="D28" s="38">
        <v>7.9</v>
      </c>
      <c r="E28" s="38" t="s">
        <v>46</v>
      </c>
      <c r="F28" s="51" t="str">
        <f t="shared" si="1"/>
        <v/>
      </c>
      <c r="G28" s="52"/>
      <c r="H28" s="52"/>
      <c r="I28" s="52"/>
      <c r="J28" s="52"/>
      <c r="K28" s="52"/>
      <c r="L28" s="52"/>
      <c r="M28" s="52"/>
      <c r="N28" s="52"/>
    </row>
    <row r="29">
      <c r="A29" s="24">
        <v>27.0</v>
      </c>
      <c r="B29" s="13" t="s">
        <v>102</v>
      </c>
      <c r="C29" s="14" t="s">
        <v>103</v>
      </c>
      <c r="D29" s="38">
        <v>6.0</v>
      </c>
      <c r="E29" s="38" t="s">
        <v>46</v>
      </c>
      <c r="F29" s="51" t="str">
        <f t="shared" si="1"/>
        <v/>
      </c>
      <c r="G29" s="52"/>
      <c r="H29" s="52"/>
      <c r="I29" s="52"/>
      <c r="J29" s="52"/>
      <c r="K29" s="52"/>
      <c r="L29" s="52"/>
      <c r="M29" s="52"/>
      <c r="N29" s="52"/>
    </row>
    <row r="30">
      <c r="A30" s="19">
        <v>28.0</v>
      </c>
      <c r="B30" s="20" t="s">
        <v>67</v>
      </c>
      <c r="C30" s="21" t="s">
        <v>103</v>
      </c>
      <c r="D30" s="38">
        <v>6.2</v>
      </c>
      <c r="E30" s="38" t="s">
        <v>46</v>
      </c>
      <c r="F30" s="51" t="str">
        <f t="shared" si="1"/>
        <v/>
      </c>
      <c r="G30" s="52"/>
      <c r="H30" s="52"/>
      <c r="I30" s="52"/>
      <c r="J30" s="52"/>
      <c r="K30" s="52"/>
      <c r="L30" s="52"/>
      <c r="M30" s="52"/>
      <c r="N30" s="52"/>
    </row>
    <row r="31">
      <c r="A31" s="30">
        <v>29.0</v>
      </c>
      <c r="B31" s="31" t="s">
        <v>104</v>
      </c>
      <c r="C31" s="32" t="s">
        <v>105</v>
      </c>
      <c r="D31" s="38">
        <v>6.7</v>
      </c>
      <c r="E31" s="38" t="s">
        <v>46</v>
      </c>
      <c r="F31" s="51" t="str">
        <f t="shared" si="1"/>
        <v/>
      </c>
      <c r="G31" s="52"/>
      <c r="H31" s="52"/>
      <c r="I31" s="52"/>
      <c r="J31" s="52"/>
      <c r="K31" s="52"/>
      <c r="L31" s="52"/>
      <c r="M31" s="52"/>
      <c r="N31" s="52"/>
    </row>
    <row r="32">
      <c r="A32" s="33">
        <v>30.0</v>
      </c>
      <c r="B32" s="34" t="s">
        <v>106</v>
      </c>
      <c r="C32" s="35" t="s">
        <v>107</v>
      </c>
      <c r="D32" s="38">
        <v>5.7</v>
      </c>
      <c r="E32" s="38" t="s">
        <v>46</v>
      </c>
      <c r="F32" s="51" t="str">
        <f t="shared" si="1"/>
        <v/>
      </c>
      <c r="G32" s="52"/>
      <c r="H32" s="52"/>
      <c r="I32" s="52"/>
      <c r="J32" s="52"/>
      <c r="K32" s="52"/>
      <c r="L32" s="52"/>
      <c r="M32" s="52"/>
      <c r="N32" s="52"/>
    </row>
    <row r="33">
      <c r="A33" s="30">
        <v>31.0</v>
      </c>
      <c r="B33" s="36" t="s">
        <v>108</v>
      </c>
      <c r="C33" s="37" t="s">
        <v>109</v>
      </c>
      <c r="D33" s="38">
        <v>5.4</v>
      </c>
      <c r="E33" s="38" t="s">
        <v>46</v>
      </c>
      <c r="F33" s="51" t="str">
        <f t="shared" si="1"/>
        <v/>
      </c>
      <c r="G33" s="52"/>
      <c r="H33" s="52"/>
      <c r="I33" s="52"/>
      <c r="J33" s="52"/>
      <c r="K33" s="52"/>
      <c r="L33" s="52"/>
      <c r="M33" s="52"/>
      <c r="N33" s="52"/>
    </row>
    <row r="34">
      <c r="A34" s="30">
        <v>32.0</v>
      </c>
      <c r="B34" s="36" t="s">
        <v>110</v>
      </c>
      <c r="C34" s="37" t="s">
        <v>111</v>
      </c>
      <c r="D34" s="38">
        <v>6.5</v>
      </c>
      <c r="E34" s="38" t="s">
        <v>46</v>
      </c>
      <c r="F34" s="51" t="str">
        <f t="shared" si="1"/>
        <v/>
      </c>
      <c r="G34" s="52"/>
      <c r="H34" s="52"/>
      <c r="I34" s="52"/>
      <c r="J34" s="52"/>
      <c r="K34" s="52"/>
      <c r="L34" s="52"/>
      <c r="M34" s="52"/>
      <c r="N34" s="52"/>
    </row>
    <row r="35">
      <c r="A35" s="30">
        <v>33.0</v>
      </c>
      <c r="B35" s="36"/>
      <c r="C35" s="37"/>
      <c r="D35" s="38" t="s">
        <v>46</v>
      </c>
      <c r="E35" s="38" t="s">
        <v>46</v>
      </c>
      <c r="F35" s="51" t="str">
        <f t="shared" si="1"/>
        <v/>
      </c>
      <c r="G35" s="52"/>
      <c r="H35" s="52"/>
      <c r="I35" s="52"/>
      <c r="J35" s="52"/>
      <c r="K35" s="52"/>
      <c r="L35" s="52"/>
      <c r="M35" s="52"/>
      <c r="N35" s="52"/>
    </row>
    <row r="36">
      <c r="A36" s="33"/>
      <c r="B36" s="41"/>
      <c r="C36" s="42"/>
      <c r="D36" s="38" t="s">
        <v>46</v>
      </c>
      <c r="E36" s="38" t="s">
        <v>46</v>
      </c>
      <c r="F36" s="51" t="str">
        <f t="shared" si="1"/>
        <v/>
      </c>
      <c r="G36" s="52"/>
      <c r="H36" s="52"/>
      <c r="I36" s="52"/>
      <c r="J36" s="52"/>
      <c r="K36" s="52"/>
      <c r="L36" s="52"/>
      <c r="M36" s="52"/>
      <c r="N36" s="52"/>
    </row>
    <row r="37">
      <c r="A37" s="43"/>
      <c r="B37" s="44"/>
      <c r="C37" s="45"/>
      <c r="D37" s="38" t="s">
        <v>46</v>
      </c>
      <c r="E37" s="38" t="s">
        <v>46</v>
      </c>
      <c r="F37" s="51" t="str">
        <f t="shared" si="1"/>
        <v/>
      </c>
      <c r="G37" s="52"/>
      <c r="H37" s="52"/>
      <c r="I37" s="52"/>
      <c r="J37" s="52"/>
      <c r="K37" s="52"/>
      <c r="L37" s="52"/>
      <c r="M37" s="52"/>
      <c r="N37" s="52"/>
    </row>
    <row r="38" ht="6.0" customHeight="1">
      <c r="A38" s="46"/>
      <c r="B38" s="47"/>
      <c r="C38" s="47"/>
      <c r="D38" s="49"/>
      <c r="E38" s="49"/>
      <c r="F38" s="49"/>
      <c r="G38" s="75"/>
      <c r="H38" s="75"/>
      <c r="I38" s="75"/>
      <c r="J38" s="75"/>
      <c r="K38" s="75"/>
      <c r="L38" s="75"/>
      <c r="M38" s="75"/>
      <c r="N38" s="7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